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worksheets/sheet23.xml" ContentType="application/vnd.openxmlformats-officedocument.spreadsheetml.worksheet+xml"/>
  <Override PartName="/xl/worksheets/sheet1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9.xml" ContentType="application/vnd.openxmlformats-officedocument.spreadsheetml.worksheet+xml"/>
  <Override PartName="/xl/worksheets/sheet22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SRC\Treasurer\FINAL BUDGET\"/>
    </mc:Choice>
  </mc:AlternateContent>
  <bookViews>
    <workbookView xWindow="0" yWindow="0" windowWidth="23040" windowHeight="8832"/>
  </bookViews>
  <sheets>
    <sheet name="Overview" sheetId="25" r:id="rId1"/>
    <sheet name="General Office" sheetId="24" r:id="rId2"/>
    <sheet name="Chair" sheetId="1" r:id="rId3"/>
    <sheet name="Vice" sheetId="2" r:id="rId4"/>
    <sheet name="MASC" sheetId="19" r:id="rId5"/>
    <sheet name="TSR" sheetId="23" r:id="rId6"/>
    <sheet name="Secretary" sheetId="3" r:id="rId7"/>
    <sheet name="Treasurer" sheetId="4" r:id="rId8"/>
    <sheet name="Societies" sheetId="5" r:id="rId9"/>
    <sheet name="AAC" sheetId="6" r:id="rId10"/>
    <sheet name="SUI" sheetId="7" r:id="rId11"/>
    <sheet name="Special Needs" sheetId="8" r:id="rId12"/>
    <sheet name="Senior Prims" sheetId="9" r:id="rId13"/>
    <sheet name="Womxn Queer" sheetId="10" r:id="rId14"/>
    <sheet name="Sports" sheetId="11" r:id="rId15"/>
    <sheet name="Leadership" sheetId="12" r:id="rId16"/>
    <sheet name="Safety and Security" sheetId="13" r:id="rId17"/>
    <sheet name="Comms" sheetId="14" r:id="rId18"/>
    <sheet name="KuKo" sheetId="15" r:id="rId19"/>
    <sheet name="Transformation" sheetId="16" r:id="rId20"/>
    <sheet name="Student Wellness" sheetId="17" r:id="rId21"/>
    <sheet name="Branding" sheetId="21" r:id="rId22"/>
    <sheet name="Sustainability " sheetId="22" r:id="rId2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5" l="1"/>
  <c r="H5" i="25"/>
  <c r="H6" i="25"/>
  <c r="H7" i="25"/>
  <c r="H8" i="25"/>
  <c r="H9" i="25"/>
  <c r="H10" i="25"/>
  <c r="H12" i="25"/>
  <c r="H13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4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H11" i="25" s="1"/>
  <c r="H3" i="25" s="1"/>
  <c r="B10" i="25"/>
  <c r="B9" i="25"/>
  <c r="B8" i="25"/>
  <c r="B7" i="25"/>
  <c r="B6" i="25"/>
  <c r="B5" i="25"/>
  <c r="B4" i="25"/>
  <c r="B3" i="25" l="1"/>
  <c r="B3" i="24"/>
  <c r="B2" i="24"/>
  <c r="D5" i="25" l="1"/>
  <c r="D13" i="25"/>
  <c r="D21" i="25"/>
  <c r="D15" i="25"/>
  <c r="D16" i="25"/>
  <c r="D17" i="25"/>
  <c r="D10" i="25"/>
  <c r="D6" i="25"/>
  <c r="D14" i="25"/>
  <c r="D22" i="25"/>
  <c r="D23" i="25"/>
  <c r="D24" i="25"/>
  <c r="D25" i="25"/>
  <c r="D18" i="25"/>
  <c r="D19" i="25"/>
  <c r="D7" i="25"/>
  <c r="D8" i="25"/>
  <c r="D9" i="25"/>
  <c r="D12" i="25"/>
  <c r="D20" i="25"/>
  <c r="D4" i="25"/>
  <c r="D11" i="25"/>
  <c r="B7" i="24"/>
  <c r="B3" i="3" l="1"/>
  <c r="B3" i="23"/>
  <c r="B7" i="15"/>
  <c r="C5" i="15"/>
  <c r="B3" i="22"/>
  <c r="B3" i="21"/>
  <c r="B3" i="17"/>
  <c r="B3" i="16"/>
  <c r="B4" i="14"/>
  <c r="B3" i="14"/>
  <c r="B3" i="13"/>
  <c r="B3" i="12"/>
  <c r="B3" i="11"/>
  <c r="B3" i="10"/>
  <c r="B3" i="9"/>
  <c r="B3" i="8"/>
  <c r="B3" i="7"/>
  <c r="B3" i="1"/>
  <c r="B3" i="2"/>
  <c r="B3" i="19"/>
  <c r="B4" i="6" l="1"/>
  <c r="B24" i="17"/>
  <c r="B28" i="17"/>
  <c r="B8" i="1"/>
  <c r="B7" i="9"/>
  <c r="B7" i="4" l="1"/>
  <c r="B6" i="23" l="1"/>
  <c r="B4" i="21" l="1"/>
  <c r="B6" i="21"/>
  <c r="B5" i="21"/>
  <c r="B10" i="5"/>
  <c r="B4" i="22"/>
  <c r="B6" i="22"/>
  <c r="D38" i="19"/>
  <c r="D31" i="19"/>
  <c r="D30" i="19"/>
  <c r="D25" i="19"/>
  <c r="D23" i="19"/>
  <c r="D22" i="19"/>
  <c r="D15" i="19"/>
  <c r="D14" i="19"/>
  <c r="D12" i="19"/>
  <c r="D6" i="19"/>
  <c r="B10" i="17"/>
  <c r="B31" i="17"/>
  <c r="B30" i="17" s="1"/>
  <c r="B25" i="17"/>
  <c r="B19" i="17"/>
  <c r="B14" i="17"/>
  <c r="B11" i="17"/>
  <c r="B9" i="17"/>
  <c r="B8" i="17"/>
  <c r="B7" i="17"/>
  <c r="B6" i="17" s="1"/>
  <c r="B4" i="17" s="1"/>
  <c r="B4" i="19" l="1"/>
  <c r="B9" i="16"/>
  <c r="B4" i="16" s="1"/>
  <c r="B6" i="16"/>
  <c r="C75" i="15"/>
  <c r="C74" i="15"/>
  <c r="C73" i="15"/>
  <c r="C72" i="15"/>
  <c r="C70" i="15"/>
  <c r="C69" i="15"/>
  <c r="C68" i="15"/>
  <c r="C67" i="15"/>
  <c r="C62" i="15"/>
  <c r="C34" i="15" s="1"/>
  <c r="C56" i="15"/>
  <c r="C31" i="15" s="1"/>
  <c r="C53" i="15"/>
  <c r="C30" i="15" s="1"/>
  <c r="C46" i="15"/>
  <c r="C49" i="15" s="1"/>
  <c r="C29" i="15" s="1"/>
  <c r="C44" i="15"/>
  <c r="C43" i="15"/>
  <c r="C42" i="15"/>
  <c r="C41" i="15"/>
  <c r="C13" i="15"/>
  <c r="C10" i="15"/>
  <c r="C9" i="15" s="1"/>
  <c r="C76" i="15" l="1"/>
  <c r="C35" i="15" s="1"/>
  <c r="C45" i="15"/>
  <c r="B36" i="13"/>
  <c r="B9" i="13"/>
  <c r="B7" i="13"/>
  <c r="B6" i="13"/>
  <c r="B4" i="13"/>
  <c r="B4" i="9" l="1"/>
  <c r="B6" i="12"/>
  <c r="B4" i="12"/>
  <c r="B6" i="11" l="1"/>
  <c r="B9" i="10" l="1"/>
  <c r="B8" i="10"/>
  <c r="B7" i="10"/>
  <c r="B6" i="10"/>
  <c r="B4" i="10" s="1"/>
  <c r="B10" i="8" l="1"/>
  <c r="B7" i="8"/>
  <c r="B6" i="8"/>
  <c r="B18" i="8"/>
  <c r="B16" i="8"/>
  <c r="B8" i="8"/>
  <c r="B5" i="8"/>
  <c r="B4" i="8" l="1"/>
  <c r="B10" i="7"/>
  <c r="B8" i="7"/>
  <c r="B4" i="7" s="1"/>
  <c r="B6" i="7"/>
  <c r="B10" i="6" l="1"/>
  <c r="B18" i="6" l="1"/>
  <c r="B17" i="6"/>
  <c r="B11" i="6"/>
  <c r="B6" i="6"/>
  <c r="B18" i="5" l="1"/>
  <c r="B17" i="5" s="1"/>
  <c r="B4" i="5" s="1"/>
  <c r="B5" i="4" l="1"/>
  <c r="B4" i="4" s="1"/>
  <c r="B4" i="3" l="1"/>
  <c r="B41" i="2"/>
  <c r="B32" i="2"/>
  <c r="B8" i="2" s="1"/>
  <c r="B4" i="2" s="1"/>
  <c r="B6" i="2"/>
  <c r="B5" i="2"/>
  <c r="B4" i="1" l="1"/>
  <c r="B9" i="1"/>
  <c r="B6" i="1"/>
  <c r="B5" i="1"/>
  <c r="C28" i="15"/>
  <c r="C27" i="15" s="1"/>
  <c r="C37" i="15" s="1"/>
</calcChain>
</file>

<file path=xl/sharedStrings.xml><?xml version="1.0" encoding="utf-8"?>
<sst xmlns="http://schemas.openxmlformats.org/spreadsheetml/2006/main" count="761" uniqueCount="490">
  <si>
    <t>Chairperson</t>
  </si>
  <si>
    <t>Lewis</t>
  </si>
  <si>
    <t>Expenses</t>
  </si>
  <si>
    <t>Personal Secretary [1]</t>
  </si>
  <si>
    <t>Student Engagement [2]</t>
  </si>
  <si>
    <t>Discretionary fund</t>
  </si>
  <si>
    <t>Internet Fund for meetings [3]</t>
  </si>
  <si>
    <t>Transport [4]</t>
  </si>
  <si>
    <t>Calculations</t>
  </si>
  <si>
    <t>[1]</t>
  </si>
  <si>
    <t>3 Terms</t>
  </si>
  <si>
    <t>Rate per term: 1870</t>
  </si>
  <si>
    <t>1870 calculation:</t>
  </si>
  <si>
    <t>R200 per week</t>
  </si>
  <si>
    <t>7 months</t>
  </si>
  <si>
    <t>4 weeks per month</t>
  </si>
  <si>
    <t>200*7*4=5600</t>
  </si>
  <si>
    <t>5600/3 terms=R1867</t>
  </si>
  <si>
    <t>[2]</t>
  </si>
  <si>
    <t>2 terms</t>
  </si>
  <si>
    <t>30 students per engagement</t>
  </si>
  <si>
    <t>4 timers per term</t>
  </si>
  <si>
    <t>40 donuts @ 4,50 per donut</t>
  </si>
  <si>
    <t>[3]</t>
  </si>
  <si>
    <t xml:space="preserve">R400 cap per member </t>
  </si>
  <si>
    <t>[4]</t>
  </si>
  <si>
    <t>16 weeks = 16 meetings</t>
  </si>
  <si>
    <t>16*400</t>
  </si>
  <si>
    <t>emergency meetings Tygerberg = 3</t>
  </si>
  <si>
    <t>400*3</t>
  </si>
  <si>
    <t>emergency meetings Milacc = 3</t>
  </si>
  <si>
    <t>800*3</t>
  </si>
  <si>
    <t>[5]</t>
  </si>
  <si>
    <t>Strategic Meetings [5]</t>
  </si>
  <si>
    <t>(5000*1,06) prior year with inflation</t>
  </si>
  <si>
    <t>subtract discretionary of R1000</t>
  </si>
  <si>
    <t>Team building [1]</t>
  </si>
  <si>
    <t>Term 2</t>
  </si>
  <si>
    <t>Term 3</t>
  </si>
  <si>
    <t>Administrative Assistant</t>
  </si>
  <si>
    <t>Transport [2]</t>
  </si>
  <si>
    <t>Pitch it to your SRC</t>
  </si>
  <si>
    <t>Sex Talk [3]</t>
  </si>
  <si>
    <t>Laser Tag (50*23)</t>
  </si>
  <si>
    <t>Food and drink (24*120)</t>
  </si>
  <si>
    <t>Milacc transport (800)</t>
  </si>
  <si>
    <t>Shuttle (1500)</t>
  </si>
  <si>
    <t>Term 2*1,05</t>
  </si>
  <si>
    <t>Term 1 meetings:</t>
  </si>
  <si>
    <t>SRC: 4</t>
  </si>
  <si>
    <t>400*4</t>
  </si>
  <si>
    <t>Exec: 8</t>
  </si>
  <si>
    <t>online</t>
  </si>
  <si>
    <t>IF: 2</t>
  </si>
  <si>
    <t>400*1</t>
  </si>
  <si>
    <t>Senate: 1</t>
  </si>
  <si>
    <t>Rectorate: 1</t>
  </si>
  <si>
    <t>Emergency meeting</t>
  </si>
  <si>
    <t>Term 2 meetings</t>
  </si>
  <si>
    <t>Rectorate: 2</t>
  </si>
  <si>
    <t>400*2</t>
  </si>
  <si>
    <t>Saldanha</t>
  </si>
  <si>
    <t>Disciplince Comm</t>
  </si>
  <si>
    <t>Term 3 meetings</t>
  </si>
  <si>
    <t>IF: 1</t>
  </si>
  <si>
    <t>Avanza: 1600</t>
  </si>
  <si>
    <t>Refreshments: 2500</t>
  </si>
  <si>
    <t>Marketing: 1000</t>
  </si>
  <si>
    <t>Transport: 1500</t>
  </si>
  <si>
    <t>Vice-Chair</t>
  </si>
  <si>
    <t>Wama</t>
  </si>
  <si>
    <t>Fadeelah</t>
  </si>
  <si>
    <t>Recorder</t>
  </si>
  <si>
    <t>Minute-editor salary [1]</t>
  </si>
  <si>
    <t>Secretary General</t>
  </si>
  <si>
    <t>SRC Meetings per term: 4</t>
  </si>
  <si>
    <t>Executive meetings per term: 8</t>
  </si>
  <si>
    <t>Terms remaining: 2</t>
  </si>
  <si>
    <t>2 emergency meetings per term: 4 in total</t>
  </si>
  <si>
    <t>Total of 12 meetings constitutionally per term</t>
  </si>
  <si>
    <t>Total meetings required: 28</t>
  </si>
  <si>
    <t>Min wage per hour from March 2020: R20,76</t>
  </si>
  <si>
    <t>Ave. time spent per meeting: 5 hours (internal and external attendance)</t>
  </si>
  <si>
    <t>Treasurer</t>
  </si>
  <si>
    <t>Financial Literacy for undergrad students [1]</t>
  </si>
  <si>
    <t>[6]</t>
  </si>
  <si>
    <t>[7]</t>
  </si>
  <si>
    <t>[8]</t>
  </si>
  <si>
    <t>Brandon</t>
  </si>
  <si>
    <t>R40 per person</t>
  </si>
  <si>
    <t>900 first year students from NSFAS (300 per venue, over 3 days)</t>
  </si>
  <si>
    <t>Societies Council</t>
  </si>
  <si>
    <t>Yanga</t>
  </si>
  <si>
    <t xml:space="preserve">Income </t>
  </si>
  <si>
    <t xml:space="preserve">membership fees </t>
  </si>
  <si>
    <t>Societies Fair</t>
  </si>
  <si>
    <t>Security</t>
  </si>
  <si>
    <t>collaborations (Tygerberg)</t>
  </si>
  <si>
    <t xml:space="preserve">Societies Ball </t>
  </si>
  <si>
    <t xml:space="preserve">Executive Expenses </t>
  </si>
  <si>
    <t xml:space="preserve">Executive Honourariums </t>
  </si>
  <si>
    <t>Executive Blazers/ Shirts</t>
  </si>
  <si>
    <t xml:space="preserve">End of term function </t>
  </si>
  <si>
    <t>Total</t>
  </si>
  <si>
    <t>Transportation [1]</t>
  </si>
  <si>
    <t>Tygerberg: 2</t>
  </si>
  <si>
    <t>Office stationary [2]</t>
  </si>
  <si>
    <t>60 pens @ R280</t>
  </si>
  <si>
    <t>Remaining R120 for staples, paper etc.</t>
  </si>
  <si>
    <t>Total Required</t>
  </si>
  <si>
    <t>Leadership  training [3]</t>
  </si>
  <si>
    <t>Venue</t>
  </si>
  <si>
    <t>General Expenses</t>
  </si>
  <si>
    <t>Events: 3</t>
  </si>
  <si>
    <t>Societies week [4]</t>
  </si>
  <si>
    <t>9000*1,06</t>
  </si>
  <si>
    <t>Academic Affairs Council</t>
  </si>
  <si>
    <t>Xola</t>
  </si>
  <si>
    <t>Income</t>
  </si>
  <si>
    <t>Faculty Committees</t>
  </si>
  <si>
    <t>Income receivable</t>
  </si>
  <si>
    <t>Marketing Material [1]</t>
  </si>
  <si>
    <t>Academic Development Programme</t>
  </si>
  <si>
    <t>Academic Conference</t>
  </si>
  <si>
    <t>Executive Honorarium</t>
  </si>
  <si>
    <t>Training</t>
  </si>
  <si>
    <t>Discretionary Fund</t>
  </si>
  <si>
    <t>Networking and Co-faculty event [2]</t>
  </si>
  <si>
    <t>Transport for training</t>
  </si>
  <si>
    <t>Spent: 304,45 on posters</t>
  </si>
  <si>
    <t>Spent: 508,81 on posters</t>
  </si>
  <si>
    <t>Spent: 450 on donuts</t>
  </si>
  <si>
    <t>Spent: 3522 on shirts</t>
  </si>
  <si>
    <t>10000*1,06</t>
  </si>
  <si>
    <t>SU International</t>
  </si>
  <si>
    <t>Joconde</t>
  </si>
  <si>
    <t>Total Allocated</t>
  </si>
  <si>
    <t>Discretionary Funding</t>
  </si>
  <si>
    <t>Internationalization &amp; Disability Discussion [1]</t>
  </si>
  <si>
    <t>African Gala Day [2]</t>
  </si>
  <si>
    <t>African Student Leaders meeting [3]</t>
  </si>
  <si>
    <t>International Picnic [4]</t>
  </si>
  <si>
    <t>Stellenbosch FC Vs Cape Town [5]</t>
  </si>
  <si>
    <t>50 people @ R5 for water</t>
  </si>
  <si>
    <t>300 people</t>
  </si>
  <si>
    <t>Total of R81000, this is a collab</t>
  </si>
  <si>
    <t>60 people</t>
  </si>
  <si>
    <t>Venue is free</t>
  </si>
  <si>
    <t>Refreshments (550 * 3 for platters &amp; 60*5 water)</t>
  </si>
  <si>
    <t>Grass patch by Gym</t>
  </si>
  <si>
    <t>International Office will assist further</t>
  </si>
  <si>
    <t>100 people @ R65 per person</t>
  </si>
  <si>
    <t>Special Needs</t>
  </si>
  <si>
    <t>Luigia</t>
  </si>
  <si>
    <t>Disability Indaba (collab with StudentAffairs) [1]</t>
  </si>
  <si>
    <t>Rotaract collaboration [2]</t>
  </si>
  <si>
    <t>Pulp collaboration [3]</t>
  </si>
  <si>
    <t>Student Wellness collaboration [4]</t>
  </si>
  <si>
    <t>Student Leaders Engagement on Policy [5]</t>
  </si>
  <si>
    <t>Number of people per session (one session)</t>
  </si>
  <si>
    <t>Calculation for booklets</t>
  </si>
  <si>
    <t>Speaker Gifts(3, dis unit, SA guide, deaf SA, sign lanugage)</t>
  </si>
  <si>
    <t>Refreshments (donuts) 80 @ 4,50</t>
  </si>
  <si>
    <t>Platter per person</t>
  </si>
  <si>
    <t>Gift for Speaker</t>
  </si>
  <si>
    <t>Refreshments (20*50)</t>
  </si>
  <si>
    <t>Popcorn (15*50)</t>
  </si>
  <si>
    <t>Donuts 500 @ 4,50</t>
  </si>
  <si>
    <t>Guest speaker gift</t>
  </si>
  <si>
    <t>Brochures (12*300)</t>
  </si>
  <si>
    <t>Information booklets price</t>
  </si>
  <si>
    <t>Expenditure</t>
  </si>
  <si>
    <t>SLS Dinner [1]</t>
  </si>
  <si>
    <t>Honorarium [2]</t>
  </si>
  <si>
    <t>50 members x R400</t>
  </si>
  <si>
    <t>1500 per term per member</t>
  </si>
  <si>
    <t>2 members</t>
  </si>
  <si>
    <t>Senior Prims</t>
  </si>
  <si>
    <t>Teboho</t>
  </si>
  <si>
    <t>Womxn Empowerment</t>
  </si>
  <si>
    <t>Grace</t>
  </si>
  <si>
    <t>Pride Day [5]</t>
  </si>
  <si>
    <t>Goldfields</t>
  </si>
  <si>
    <t>Speakers</t>
  </si>
  <si>
    <t>Provided by SRC</t>
  </si>
  <si>
    <t>Refreshments (water)</t>
  </si>
  <si>
    <t>R5 per bottle *1000</t>
  </si>
  <si>
    <t>Hiring Pulp</t>
  </si>
  <si>
    <t>Popcorn</t>
  </si>
  <si>
    <t>(15*50)</t>
  </si>
  <si>
    <t>Recording and editing fee</t>
  </si>
  <si>
    <t xml:space="preserve">Donuts </t>
  </si>
  <si>
    <t>20*4,50</t>
  </si>
  <si>
    <t>Transport for speaker</t>
  </si>
  <si>
    <t>Water will be given from budgeted amount above</t>
  </si>
  <si>
    <t>2/3*3500</t>
  </si>
  <si>
    <t>Remaining 1/3 is to be covered by QueerUS as a collaborative event</t>
  </si>
  <si>
    <t>Speakers provided by SRC</t>
  </si>
  <si>
    <t>Refreshments</t>
  </si>
  <si>
    <t>(5*1000)</t>
  </si>
  <si>
    <t>DJ</t>
  </si>
  <si>
    <t>700 per hour for 3 hours</t>
  </si>
  <si>
    <t>Matie Sport</t>
  </si>
  <si>
    <t>Incomes</t>
  </si>
  <si>
    <t xml:space="preserve">Expenses </t>
  </si>
  <si>
    <t>SRC Sports Assistance Fund (SAF)</t>
  </si>
  <si>
    <t>Sports Emergency Fund</t>
  </si>
  <si>
    <t xml:space="preserve">Intervarsity </t>
  </si>
  <si>
    <t>International Sports Week</t>
  </si>
  <si>
    <t xml:space="preserve">Eric </t>
  </si>
  <si>
    <t>Entry fee for events, not to be budgeted for. Can be used for a sports society [Maties women's rugby]</t>
  </si>
  <si>
    <t>Leadership &amp; Development</t>
  </si>
  <si>
    <t>Sifiso</t>
  </si>
  <si>
    <t>Workshop on leadership [1]</t>
  </si>
  <si>
    <t>Critical engagement [2]</t>
  </si>
  <si>
    <t>Donuts</t>
  </si>
  <si>
    <t>200*4,50</t>
  </si>
  <si>
    <t>Gift for speaker</t>
  </si>
  <si>
    <t>Transport for students</t>
  </si>
  <si>
    <t>Disrectionary Fund</t>
  </si>
  <si>
    <t>Safety and Security</t>
  </si>
  <si>
    <t>Christina</t>
  </si>
  <si>
    <t>Martial arts engagements [1]</t>
  </si>
  <si>
    <t>First Aid engagements [2]</t>
  </si>
  <si>
    <t>Die Matie safety section [3]</t>
  </si>
  <si>
    <t>Packages for HITFIT classes [4]</t>
  </si>
  <si>
    <t>Talks on safety [5]</t>
  </si>
  <si>
    <t>Safety Box</t>
  </si>
  <si>
    <t>Venue (Neelsie)</t>
  </si>
  <si>
    <t>Security bags</t>
  </si>
  <si>
    <t>Pepper spray (150*140p/u)</t>
  </si>
  <si>
    <t>Paper bags</t>
  </si>
  <si>
    <t>Safety stickers</t>
  </si>
  <si>
    <t>(0.6 *150)</t>
  </si>
  <si>
    <t>Safety brochures</t>
  </si>
  <si>
    <t>Brochure printing</t>
  </si>
  <si>
    <t>Venue (Monica)</t>
  </si>
  <si>
    <t>free</t>
  </si>
  <si>
    <t>donuts (300 for first comers)</t>
  </si>
  <si>
    <t>300*4,50</t>
  </si>
  <si>
    <t>Price per article</t>
  </si>
  <si>
    <t>Number of articles per term</t>
  </si>
  <si>
    <t>Numer of terms</t>
  </si>
  <si>
    <t>Must be an advanced payment for during the elections</t>
  </si>
  <si>
    <t>2 Classes a term, hence 6 in total.</t>
  </si>
  <si>
    <t>Pepper spray (50*140p/u)</t>
  </si>
  <si>
    <t>Could be more based on student feedback</t>
  </si>
  <si>
    <t>300 bags at R0,59 per bag with R90 delivery fee</t>
  </si>
  <si>
    <t>0.6(50*6)</t>
  </si>
  <si>
    <t>once off</t>
  </si>
  <si>
    <t>900*2</t>
  </si>
  <si>
    <t>[5] (two critical engagements)</t>
  </si>
  <si>
    <t>Residence (free)</t>
  </si>
  <si>
    <t xml:space="preserve">Speaker gift </t>
  </si>
  <si>
    <t>250*2</t>
  </si>
  <si>
    <t>100 donuts for each engagement</t>
  </si>
  <si>
    <t>2(100*4,50)</t>
  </si>
  <si>
    <t>Communications</t>
  </si>
  <si>
    <t xml:space="preserve">Lwazi </t>
  </si>
  <si>
    <t xml:space="preserve">KuKo </t>
  </si>
  <si>
    <t>Philip</t>
  </si>
  <si>
    <t>Total Available:</t>
  </si>
  <si>
    <t>Notes</t>
  </si>
  <si>
    <t>Actual income from last year</t>
  </si>
  <si>
    <t>Toneelfees</t>
  </si>
  <si>
    <t>Gala evening sold out</t>
  </si>
  <si>
    <t>Debating</t>
  </si>
  <si>
    <t>SUAC Launch</t>
  </si>
  <si>
    <t>SUAC</t>
  </si>
  <si>
    <t>PAW</t>
  </si>
  <si>
    <t>Income Calculations</t>
  </si>
  <si>
    <t>Entries</t>
  </si>
  <si>
    <t>35 x R450</t>
  </si>
  <si>
    <t>*Fee static, Last year's entries was 40</t>
  </si>
  <si>
    <t>Tickets</t>
  </si>
  <si>
    <t>*Extrapolated from prior year's sales of R30 0000</t>
  </si>
  <si>
    <t>17 x R250</t>
  </si>
  <si>
    <t>*Static fee, Last year's entries was 17</t>
  </si>
  <si>
    <t>200 x R50</t>
  </si>
  <si>
    <t>30 x R750</t>
  </si>
  <si>
    <t>*Same entries as last year</t>
  </si>
  <si>
    <t>*Last year's Ticket sales ammounted to R285 272,94</t>
  </si>
  <si>
    <t>50 x R40</t>
  </si>
  <si>
    <t>Estimated entries</t>
  </si>
  <si>
    <t>(100k)</t>
  </si>
  <si>
    <t>SUAC Workshops</t>
  </si>
  <si>
    <t>SUAC-Trip</t>
  </si>
  <si>
    <t>SUAC-Loop</t>
  </si>
  <si>
    <t>Expense Calculations</t>
  </si>
  <si>
    <t>*Last year with Inflation</t>
  </si>
  <si>
    <t>Judges</t>
  </si>
  <si>
    <t>Catering</t>
  </si>
  <si>
    <t>Miscelaneous</t>
  </si>
  <si>
    <t>*Last year with Inflation (Printing, Photography, Prizes, Equipment)</t>
  </si>
  <si>
    <t>Adjudicators</t>
  </si>
  <si>
    <t>30 adjudicating hours x R60</t>
  </si>
  <si>
    <t>Printing</t>
  </si>
  <si>
    <t>Certificates &amp; Rubrics</t>
  </si>
  <si>
    <t>Prizes</t>
  </si>
  <si>
    <t>Frames for Certificates (220) and Investing in Trophies for this Competition(480)</t>
  </si>
  <si>
    <t>Venues</t>
  </si>
  <si>
    <t>3 Judges per category times 3 categories times R500</t>
  </si>
  <si>
    <t>Posters and Rubrics</t>
  </si>
  <si>
    <t>Facilitator</t>
  </si>
  <si>
    <t>MC</t>
  </si>
  <si>
    <t>Depending on income we may contribute for transport to Tygerberg</t>
  </si>
  <si>
    <t>Decorations</t>
  </si>
  <si>
    <t>Photographer</t>
  </si>
  <si>
    <t>*Provisional Endler cost estimate</t>
  </si>
  <si>
    <t>*Same as last yeat</t>
  </si>
  <si>
    <t>Lower than last year's 15000</t>
  </si>
  <si>
    <t>Estimate of money to be spent on gifts for winners- Exact gifts still to be decided on</t>
  </si>
  <si>
    <t>First Aid</t>
  </si>
  <si>
    <t>Photography</t>
  </si>
  <si>
    <t>Ticket Equipment</t>
  </si>
  <si>
    <t>*Last Year</t>
  </si>
  <si>
    <t>Lighting</t>
  </si>
  <si>
    <t>Live Streaming</t>
  </si>
  <si>
    <t>Recording</t>
  </si>
  <si>
    <t>Printing (certificates) (judging booklets), Campus Favourites, Refreshments (for judges with platters - juice), Transport, Admin</t>
  </si>
  <si>
    <t>Transformation</t>
  </si>
  <si>
    <t>Jeff</t>
  </si>
  <si>
    <t>International Worker's Day [1]</t>
  </si>
  <si>
    <t>500 people @ R5 per water</t>
  </si>
  <si>
    <t>Freedom Day [2]</t>
  </si>
  <si>
    <t>Food (platters @ R550)</t>
  </si>
  <si>
    <t>4*550</t>
  </si>
  <si>
    <t>National Woman's Day [3]</t>
  </si>
  <si>
    <t>Critical Engagement</t>
  </si>
  <si>
    <t>Rooiplein</t>
  </si>
  <si>
    <t>Water</t>
  </si>
  <si>
    <t>1000 waters at R5</t>
  </si>
  <si>
    <t>Heritage day [4]</t>
  </si>
  <si>
    <t>Heritage Day</t>
  </si>
  <si>
    <t>Donuts (500 @ 4,50)</t>
  </si>
  <si>
    <t>Speakers from SRC</t>
  </si>
  <si>
    <t>Water (500 @ 5)</t>
  </si>
  <si>
    <t>Student Wellness</t>
  </si>
  <si>
    <t>Chloe</t>
  </si>
  <si>
    <t>Clean Campaign</t>
  </si>
  <si>
    <t>Resisdence CC posters [1]</t>
  </si>
  <si>
    <t>36*9*7 (Tygerberg included)</t>
  </si>
  <si>
    <t>PSO CC posters [2]</t>
  </si>
  <si>
    <t>10*3*7</t>
  </si>
  <si>
    <t>Milacc CC posters [3]</t>
  </si>
  <si>
    <t>5*3*7</t>
  </si>
  <si>
    <t>Stickers for package</t>
  </si>
  <si>
    <t>5000*0.46</t>
  </si>
  <si>
    <t>Graphic Fee for Brochure</t>
  </si>
  <si>
    <t>Brochure printing for package</t>
  </si>
  <si>
    <t>The quote is R4994,86</t>
  </si>
  <si>
    <t>Tissues for package</t>
  </si>
  <si>
    <t>[(5000/24)*600]/3</t>
  </si>
  <si>
    <t>Covid-19 Talk</t>
  </si>
  <si>
    <t>Refreshments (donuts)</t>
  </si>
  <si>
    <t>Wet wipes</t>
  </si>
  <si>
    <t>100 wetwipes for R30</t>
  </si>
  <si>
    <t xml:space="preserve">Venue (VV  Saal) </t>
  </si>
  <si>
    <t>Marketing</t>
  </si>
  <si>
    <t>Social Media</t>
  </si>
  <si>
    <t>Exam and Stress Management</t>
  </si>
  <si>
    <t>300 donuts @ R4,50</t>
  </si>
  <si>
    <t xml:space="preserve">Free </t>
  </si>
  <si>
    <t>15*7</t>
  </si>
  <si>
    <t>Campus posters [4]</t>
  </si>
  <si>
    <t>CC stands for Clean Campaign</t>
  </si>
  <si>
    <t xml:space="preserve">[1] </t>
  </si>
  <si>
    <t>36 res *3 posters* (3 per topic and 3 for each floor )=9*R7 (unit price per A3 colour single sided)</t>
  </si>
  <si>
    <t>10 hubs*3 posters*1 of each poster*R7 (unit price per A3 colour single sided)</t>
  </si>
  <si>
    <t>5 blocks*3 posters*1 of each poster*R7 (unit price per A3 colour single sided)</t>
  </si>
  <si>
    <t>15 posters @ R7 each</t>
  </si>
  <si>
    <t xml:space="preserve">MASC general </t>
  </si>
  <si>
    <t>1. Transport expenses to SU</t>
  </si>
  <si>
    <t xml:space="preserve">2. Personal Assistant Salary </t>
  </si>
  <si>
    <t>3. MASC T shirts</t>
  </si>
  <si>
    <t>COMMITTEE STRUCTURING</t>
  </si>
  <si>
    <t>General (08 Feb)</t>
  </si>
  <si>
    <t>1. Converence booking</t>
  </si>
  <si>
    <t>Valedactory Service (15 Oct)</t>
  </si>
  <si>
    <t>1. Water for guests</t>
  </si>
  <si>
    <t>2. Guest speaker gifts</t>
  </si>
  <si>
    <t>MR and MISS Academy 2020 (15 Feb)</t>
  </si>
  <si>
    <t>1. Mr and Miss Academy Cash Prize</t>
  </si>
  <si>
    <t>2. 1st Prince and 1st Princess Cash Prize</t>
  </si>
  <si>
    <t>3. 2nd Prince and 2nd Princess Cash Prize</t>
  </si>
  <si>
    <t>MASC Ball (24 Oct)</t>
  </si>
  <si>
    <t>1. Refreshments for 300 people</t>
  </si>
  <si>
    <t>2. Appreciation Gifts</t>
  </si>
  <si>
    <t>Cross Country (21 Oct)</t>
  </si>
  <si>
    <t>1. Floating trophies</t>
  </si>
  <si>
    <t>MASIZA</t>
  </si>
  <si>
    <t>Project 1 : Association for people with disabilities(Hygene kit donation)</t>
  </si>
  <si>
    <t>1. ToothPaste</t>
  </si>
  <si>
    <t>2. Tooth Brush</t>
  </si>
  <si>
    <t>3. Body Soap</t>
  </si>
  <si>
    <t>4. Face Cloth</t>
  </si>
  <si>
    <t>5. Gift Bag</t>
  </si>
  <si>
    <t>Project 2 : 67 minutes for Mandela Day(Renovate Jungle Gym)</t>
  </si>
  <si>
    <t>1. 25Lt water Paint</t>
  </si>
  <si>
    <t>2. Paint Dyes</t>
  </si>
  <si>
    <t>3. Hand Gloves</t>
  </si>
  <si>
    <t>Project 3: Pink Project (21 March 2020)</t>
  </si>
  <si>
    <t>1. Donation for sanitary towels</t>
  </si>
  <si>
    <t>Quantity</t>
  </si>
  <si>
    <t>MASC</t>
  </si>
  <si>
    <t>Thembakazi</t>
  </si>
  <si>
    <t>5600/3 terms=R1867 rounded to R1870</t>
  </si>
  <si>
    <t>Amount</t>
  </si>
  <si>
    <t>Robynne</t>
  </si>
  <si>
    <t>Sustainability and Innovation</t>
  </si>
  <si>
    <t>Shilela</t>
  </si>
  <si>
    <t>IdeaSmash</t>
  </si>
  <si>
    <t>Sustainability Week [1]</t>
  </si>
  <si>
    <t xml:space="preserve">Marketing </t>
  </si>
  <si>
    <t>Social media</t>
  </si>
  <si>
    <t>SRC provided</t>
  </si>
  <si>
    <t>Donuts (400 @ 4,50)</t>
  </si>
  <si>
    <t>Posters @ R7 on average for A3</t>
  </si>
  <si>
    <t>Branding and Marketing</t>
  </si>
  <si>
    <t>(28)(5)(20,76) = 3000 rounded up</t>
  </si>
  <si>
    <t>Food for 200 people</t>
  </si>
  <si>
    <t>Speaker gifts</t>
  </si>
  <si>
    <t>130*2</t>
  </si>
  <si>
    <t>Advertising [1]</t>
  </si>
  <si>
    <t>Die-Matie SRC updates</t>
  </si>
  <si>
    <t>1400*4</t>
  </si>
  <si>
    <t>Die Matie - Large Ads</t>
  </si>
  <si>
    <t>2750*2</t>
  </si>
  <si>
    <t>Promotional [2]</t>
  </si>
  <si>
    <t>Laser cut SRC Champion badges</t>
  </si>
  <si>
    <t>(55*40)</t>
  </si>
  <si>
    <t>Blazers for managers</t>
  </si>
  <si>
    <t>(820*8)</t>
  </si>
  <si>
    <t>Data costs [1]</t>
  </si>
  <si>
    <t>TSR</t>
  </si>
  <si>
    <t>Ntsako</t>
  </si>
  <si>
    <t>Transport to Stellenbosch</t>
  </si>
  <si>
    <t>In VC's budget</t>
  </si>
  <si>
    <t>Catering for SRC meetings at Tygerberg [1]</t>
  </si>
  <si>
    <t>23 members</t>
  </si>
  <si>
    <t>2 terms remaining</t>
  </si>
  <si>
    <t>No meetings as of present</t>
  </si>
  <si>
    <t>Platters at R550, 2 per term</t>
  </si>
  <si>
    <t>550*2*2</t>
  </si>
  <si>
    <t>Discretionary funding</t>
  </si>
  <si>
    <t>Slut-walk [1] Womxn's Week</t>
  </si>
  <si>
    <t>PULP Movie Night [2] Womxn's Week</t>
  </si>
  <si>
    <t>Lecture Video [3] Womxn's Week</t>
  </si>
  <si>
    <t>Guest Speaker [4] Womxn's Week</t>
  </si>
  <si>
    <t>General Office Expenses</t>
  </si>
  <si>
    <t>Transport</t>
  </si>
  <si>
    <t>Dishwashing (sponges, liquid soap)</t>
  </si>
  <si>
    <t>200 for ink replacing for stamp</t>
  </si>
  <si>
    <t>Office stationery [1]</t>
  </si>
  <si>
    <t>4. MASC Logo</t>
  </si>
  <si>
    <t>Blazers [3]</t>
  </si>
  <si>
    <t>3 executive members x 820 per blazer</t>
  </si>
  <si>
    <t>Bulletin [2]</t>
  </si>
  <si>
    <t>Service fee</t>
  </si>
  <si>
    <t>5 members</t>
  </si>
  <si>
    <t>Motivational session in venue [5]</t>
  </si>
  <si>
    <t>Venue: R3500</t>
  </si>
  <si>
    <t>R7 per poster</t>
  </si>
  <si>
    <t>10 per faculty; 10 faculties = 100</t>
  </si>
  <si>
    <t>Motivational posters: R700</t>
  </si>
  <si>
    <t>Student pens: (60 pens @ R280) *5 = 300 pens = R1400</t>
  </si>
  <si>
    <t>R6000 per year per member</t>
  </si>
  <si>
    <t>5 months * R1800</t>
  </si>
  <si>
    <t>R150 per term</t>
  </si>
  <si>
    <t>Speaker gift at R250</t>
  </si>
  <si>
    <t>Manager Honorarium [2]</t>
  </si>
  <si>
    <t>39965,55+25000</t>
  </si>
  <si>
    <t>Total Allocated:</t>
  </si>
  <si>
    <r>
      <t xml:space="preserve">Subtract last year SAMRO Fee: </t>
    </r>
    <r>
      <rPr>
        <sz val="11"/>
        <color theme="1"/>
        <rFont val="Calibri"/>
        <family val="2"/>
        <scheme val="minor"/>
      </rPr>
      <t>64 965,55 - 12 604,00</t>
    </r>
  </si>
  <si>
    <t>Equals for current year:</t>
  </si>
  <si>
    <t>The financial year end for SAMRO was 30 June 2019. The invoice was sent in 2020, hence next year will be required to pay the 2020 fee.</t>
  </si>
  <si>
    <t>10000*8</t>
  </si>
  <si>
    <t>Overview of allocations for SRC 2020</t>
  </si>
  <si>
    <t>General Office</t>
  </si>
  <si>
    <t>Vice-Chairperson</t>
  </si>
  <si>
    <t>Secretary</t>
  </si>
  <si>
    <t>Womxn &amp; Queer empowerment</t>
  </si>
  <si>
    <t>Sports</t>
  </si>
  <si>
    <t>Leadership</t>
  </si>
  <si>
    <t>KuKo</t>
  </si>
  <si>
    <t>Sustainability</t>
  </si>
  <si>
    <t>R80 000 cap reached</t>
  </si>
  <si>
    <t>Total Expenditure</t>
  </si>
  <si>
    <t>Percentage of Total Expenditure</t>
  </si>
  <si>
    <t>Short Term Strategic Fund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</si>
</sst>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R&quot;\ #,##0;[Red]&quot;R&quot;\ \-#,##0"/>
    <numFmt numFmtId="44" formatCode="_ &quot;R&quot;\ * #,##0.00_ ;_ &quot;R&quot;\ * \-#,##0.00_ ;_ &quot;R&quot;\ * &quot;-&quot;??_ ;_ @_ "/>
    <numFmt numFmtId="164" formatCode="_-&quot;R&quot;* #,##0.00_-;\-&quot;R&quot;* #,##0.00_-;_-&quot;R&quot;* &quot;-&quot;??_-;_-@_-"/>
    <numFmt numFmtId="165" formatCode="_-[$R-1C09]* #,##0.00_-;\-[$R-1C09]* #,##0.00_-;_-[$R-1C09]* &quot;-&quot;??_-;_-@_-"/>
    <numFmt numFmtId="166" formatCode="_ [$R-1C09]\ * #,##0.00_ ;_ [$R-1C09]\ * \-#,##0.00_ ;_ [$R-1C09]\ * &quot;-&quot;??_ ;_ @_ "/>
    <numFmt numFmtId="167" formatCode="&quot;R&quot;#,##0;[Red]\-&quot;R&quot;#,##0"/>
    <numFmt numFmtId="168" formatCode="&quot;R&quot;\ #,##0.00"/>
    <numFmt numFmtId="169" formatCode="&quot;R&quot;#,##0.00"/>
    <numFmt numFmtId="170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u/>
      <sz val="11"/>
      <color rgb="FF000000"/>
      <name val="Calibri"/>
      <family val="2"/>
    </font>
    <font>
      <b/>
      <i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EC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44" fontId="0" fillId="0" borderId="0" xfId="1" applyFont="1"/>
    <xf numFmtId="44" fontId="0" fillId="0" borderId="1" xfId="1" applyFont="1" applyBorder="1"/>
    <xf numFmtId="44" fontId="0" fillId="0" borderId="2" xfId="1" applyFont="1" applyBorder="1"/>
    <xf numFmtId="44" fontId="0" fillId="0" borderId="3" xfId="1" applyFont="1" applyBorder="1"/>
    <xf numFmtId="44" fontId="2" fillId="0" borderId="0" xfId="1" applyFont="1"/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Fill="1" applyBorder="1"/>
    <xf numFmtId="0" fontId="0" fillId="0" borderId="0" xfId="0" applyFont="1"/>
    <xf numFmtId="44" fontId="0" fillId="0" borderId="0" xfId="0" applyNumberFormat="1"/>
    <xf numFmtId="44" fontId="2" fillId="0" borderId="0" xfId="0" applyNumberFormat="1" applyFont="1"/>
    <xf numFmtId="0" fontId="0" fillId="0" borderId="0" xfId="0"/>
    <xf numFmtId="165" fontId="0" fillId="0" borderId="4" xfId="0" applyNumberFormat="1" applyBorder="1"/>
    <xf numFmtId="165" fontId="0" fillId="0" borderId="2" xfId="0" applyNumberFormat="1" applyBorder="1"/>
    <xf numFmtId="164" fontId="0" fillId="0" borderId="2" xfId="2" applyFont="1" applyBorder="1"/>
    <xf numFmtId="164" fontId="0" fillId="0" borderId="3" xfId="2" applyFont="1" applyBorder="1"/>
    <xf numFmtId="164" fontId="0" fillId="0" borderId="2" xfId="2" applyFont="1" applyFill="1" applyBorder="1"/>
    <xf numFmtId="0" fontId="0" fillId="0" borderId="0" xfId="0" applyFill="1" applyBorder="1"/>
    <xf numFmtId="165" fontId="0" fillId="0" borderId="0" xfId="0" applyNumberFormat="1" applyBorder="1"/>
    <xf numFmtId="0" fontId="0" fillId="0" borderId="0" xfId="0" applyBorder="1"/>
    <xf numFmtId="3" fontId="0" fillId="0" borderId="0" xfId="0" applyNumberFormat="1" applyBorder="1"/>
    <xf numFmtId="0" fontId="0" fillId="0" borderId="0" xfId="0" applyFont="1" applyBorder="1"/>
    <xf numFmtId="0" fontId="2" fillId="0" borderId="0" xfId="0" applyFont="1" applyFill="1" applyBorder="1"/>
    <xf numFmtId="165" fontId="2" fillId="0" borderId="0" xfId="0" applyNumberFormat="1" applyFont="1" applyBorder="1"/>
    <xf numFmtId="3" fontId="0" fillId="0" borderId="0" xfId="0" applyNumberFormat="1" applyFill="1" applyBorder="1"/>
    <xf numFmtId="166" fontId="0" fillId="0" borderId="0" xfId="0" applyNumberFormat="1"/>
    <xf numFmtId="165" fontId="0" fillId="0" borderId="3" xfId="0" applyNumberFormat="1" applyFill="1" applyBorder="1"/>
    <xf numFmtId="44" fontId="0" fillId="0" borderId="6" xfId="0" applyNumberFormat="1" applyBorder="1"/>
    <xf numFmtId="44" fontId="3" fillId="0" borderId="1" xfId="1" applyFont="1" applyBorder="1"/>
    <xf numFmtId="44" fontId="3" fillId="0" borderId="3" xfId="1" applyFont="1" applyBorder="1"/>
    <xf numFmtId="0" fontId="3" fillId="0" borderId="0" xfId="0" applyFont="1" applyAlignment="1"/>
    <xf numFmtId="0" fontId="0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/>
    <xf numFmtId="0" fontId="5" fillId="0" borderId="0" xfId="0" applyFont="1" applyFill="1" applyAlignment="1"/>
    <xf numFmtId="0" fontId="5" fillId="0" borderId="0" xfId="0" applyFont="1" applyFill="1"/>
    <xf numFmtId="167" fontId="0" fillId="0" borderId="0" xfId="0" applyNumberFormat="1"/>
    <xf numFmtId="0" fontId="0" fillId="0" borderId="0" xfId="0" applyFont="1" applyFill="1" applyBorder="1"/>
    <xf numFmtId="0" fontId="0" fillId="0" borderId="0" xfId="0" applyAlignment="1">
      <alignment horizontal="left"/>
    </xf>
    <xf numFmtId="164" fontId="0" fillId="0" borderId="0" xfId="2" applyFont="1"/>
    <xf numFmtId="0" fontId="2" fillId="0" borderId="4" xfId="0" applyFont="1" applyBorder="1"/>
    <xf numFmtId="164" fontId="0" fillId="0" borderId="0" xfId="0" applyNumberFormat="1" applyFont="1"/>
    <xf numFmtId="0" fontId="0" fillId="0" borderId="0" xfId="0" applyFont="1" applyFill="1"/>
    <xf numFmtId="164" fontId="0" fillId="0" borderId="0" xfId="2" applyFont="1" applyFill="1"/>
    <xf numFmtId="167" fontId="0" fillId="0" borderId="0" xfId="0" applyNumberFormat="1" applyFont="1" applyAlignment="1">
      <alignment horizontal="left"/>
    </xf>
    <xf numFmtId="167" fontId="0" fillId="0" borderId="0" xfId="0" applyNumberFormat="1" applyFont="1" applyFill="1" applyAlignment="1">
      <alignment horizontal="left"/>
    </xf>
    <xf numFmtId="0" fontId="2" fillId="0" borderId="4" xfId="0" applyFont="1" applyFill="1" applyBorder="1"/>
    <xf numFmtId="164" fontId="0" fillId="0" borderId="0" xfId="0" applyNumberFormat="1" applyFont="1" applyFill="1"/>
    <xf numFmtId="6" fontId="0" fillId="0" borderId="0" xfId="0" applyNumberFormat="1" applyFont="1" applyFill="1"/>
    <xf numFmtId="164" fontId="0" fillId="0" borderId="4" xfId="0" applyNumberFormat="1" applyFont="1" applyFill="1" applyBorder="1"/>
    <xf numFmtId="0" fontId="0" fillId="0" borderId="0" xfId="0" applyFont="1" applyAlignment="1">
      <alignment wrapText="1"/>
    </xf>
    <xf numFmtId="0" fontId="2" fillId="0" borderId="0" xfId="0" applyFont="1" applyFill="1"/>
    <xf numFmtId="0" fontId="0" fillId="0" borderId="4" xfId="0" applyFont="1" applyBorder="1"/>
    <xf numFmtId="0" fontId="0" fillId="0" borderId="4" xfId="0" applyFont="1" applyFill="1" applyBorder="1"/>
    <xf numFmtId="44" fontId="0" fillId="0" borderId="2" xfId="1" applyFont="1" applyFill="1" applyBorder="1"/>
    <xf numFmtId="0" fontId="6" fillId="0" borderId="0" xfId="0" applyFont="1"/>
    <xf numFmtId="0" fontId="3" fillId="0" borderId="0" xfId="0" applyFont="1"/>
    <xf numFmtId="0" fontId="6" fillId="0" borderId="0" xfId="0" applyFont="1" applyFill="1" applyBorder="1"/>
    <xf numFmtId="0" fontId="3" fillId="0" borderId="0" xfId="0" applyFont="1" applyFill="1" applyBorder="1"/>
    <xf numFmtId="44" fontId="2" fillId="0" borderId="0" xfId="1" applyFont="1" applyBorder="1"/>
    <xf numFmtId="44" fontId="6" fillId="0" borderId="0" xfId="1" applyFont="1"/>
    <xf numFmtId="44" fontId="3" fillId="0" borderId="2" xfId="1" applyFont="1" applyBorder="1"/>
    <xf numFmtId="168" fontId="0" fillId="0" borderId="0" xfId="0" applyNumberFormat="1" applyFont="1" applyBorder="1"/>
    <xf numFmtId="0" fontId="7" fillId="0" borderId="0" xfId="0" applyFont="1" applyFill="1" applyBorder="1"/>
    <xf numFmtId="168" fontId="0" fillId="0" borderId="0" xfId="0" applyNumberFormat="1" applyFont="1" applyFill="1" applyBorder="1"/>
    <xf numFmtId="169" fontId="0" fillId="0" borderId="0" xfId="0" applyNumberFormat="1" applyFont="1" applyBorder="1"/>
    <xf numFmtId="0" fontId="0" fillId="0" borderId="0" xfId="0" applyFont="1" applyBorder="1" applyAlignment="1">
      <alignment vertical="center" wrapText="1"/>
    </xf>
    <xf numFmtId="169" fontId="0" fillId="0" borderId="0" xfId="0" applyNumberFormat="1" applyFont="1" applyBorder="1" applyAlignment="1"/>
    <xf numFmtId="0" fontId="10" fillId="0" borderId="0" xfId="0" applyFont="1" applyFill="1" applyBorder="1" applyAlignment="1">
      <alignment vertical="center" wrapText="1"/>
    </xf>
    <xf numFmtId="169" fontId="0" fillId="0" borderId="0" xfId="0" applyNumberFormat="1" applyFont="1" applyBorder="1" applyAlignment="1">
      <alignment vertical="center" wrapText="1"/>
    </xf>
    <xf numFmtId="169" fontId="0" fillId="0" borderId="0" xfId="0" applyNumberFormat="1" applyFont="1" applyFill="1" applyBorder="1"/>
    <xf numFmtId="0" fontId="0" fillId="0" borderId="0" xfId="0" applyFont="1" applyBorder="1" applyAlignment="1">
      <alignment horizontal="left"/>
    </xf>
    <xf numFmtId="0" fontId="9" fillId="0" borderId="0" xfId="0" applyFont="1" applyFill="1" applyBorder="1" applyAlignment="1">
      <alignment vertical="center" wrapText="1"/>
    </xf>
    <xf numFmtId="169" fontId="9" fillId="0" borderId="0" xfId="0" applyNumberFormat="1" applyFont="1" applyFill="1" applyBorder="1"/>
    <xf numFmtId="0" fontId="0" fillId="0" borderId="0" xfId="0" applyFont="1" applyFill="1" applyBorder="1" applyAlignment="1">
      <alignment vertical="center" wrapText="1"/>
    </xf>
    <xf numFmtId="0" fontId="11" fillId="0" borderId="0" xfId="0" applyFont="1" applyFill="1" applyBorder="1"/>
    <xf numFmtId="169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Border="1" applyAlignment="1"/>
    <xf numFmtId="169" fontId="0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/>
    <xf numFmtId="0" fontId="9" fillId="0" borderId="0" xfId="0" applyFont="1" applyBorder="1" applyAlignment="1"/>
    <xf numFmtId="169" fontId="0" fillId="0" borderId="0" xfId="0" applyNumberFormat="1" applyFont="1" applyBorder="1" applyAlignment="1">
      <alignment horizontal="center" wrapText="1"/>
    </xf>
    <xf numFmtId="0" fontId="9" fillId="0" borderId="0" xfId="0" applyFont="1" applyBorder="1"/>
    <xf numFmtId="169" fontId="0" fillId="0" borderId="0" xfId="0" applyNumberFormat="1" applyFont="1" applyBorder="1" applyAlignment="1">
      <alignment horizontal="center"/>
    </xf>
    <xf numFmtId="169" fontId="0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12" fillId="0" borderId="0" xfId="0" applyFont="1"/>
    <xf numFmtId="0" fontId="8" fillId="0" borderId="7" xfId="0" applyFont="1" applyBorder="1" applyAlignment="1">
      <alignment vertical="center" wrapText="1"/>
    </xf>
    <xf numFmtId="169" fontId="0" fillId="0" borderId="8" xfId="0" applyNumberFormat="1" applyFont="1" applyBorder="1"/>
    <xf numFmtId="0" fontId="8" fillId="0" borderId="9" xfId="0" applyFont="1" applyBorder="1" applyAlignment="1">
      <alignment vertical="center" wrapText="1"/>
    </xf>
    <xf numFmtId="169" fontId="0" fillId="0" borderId="10" xfId="0" applyNumberFormat="1" applyFont="1" applyBorder="1" applyAlignment="1"/>
    <xf numFmtId="169" fontId="0" fillId="0" borderId="10" xfId="0" applyNumberFormat="1" applyFont="1" applyBorder="1"/>
    <xf numFmtId="169" fontId="0" fillId="0" borderId="10" xfId="0" applyNumberFormat="1" applyFont="1" applyBorder="1" applyAlignment="1">
      <alignment vertical="center" wrapText="1"/>
    </xf>
    <xf numFmtId="0" fontId="0" fillId="0" borderId="9" xfId="0" applyFont="1" applyFill="1" applyBorder="1"/>
    <xf numFmtId="169" fontId="0" fillId="0" borderId="10" xfId="0" applyNumberFormat="1" applyFont="1" applyFill="1" applyBorder="1"/>
    <xf numFmtId="0" fontId="0" fillId="0" borderId="9" xfId="0" applyFont="1" applyBorder="1"/>
    <xf numFmtId="0" fontId="0" fillId="0" borderId="5" xfId="0" applyFont="1" applyFill="1" applyBorder="1"/>
    <xf numFmtId="169" fontId="0" fillId="0" borderId="11" xfId="0" applyNumberFormat="1" applyFont="1" applyFill="1" applyBorder="1"/>
    <xf numFmtId="168" fontId="2" fillId="0" borderId="4" xfId="0" applyNumberFormat="1" applyFont="1" applyFill="1" applyBorder="1"/>
    <xf numFmtId="44" fontId="0" fillId="0" borderId="3" xfId="1" applyFont="1" applyFill="1" applyBorder="1"/>
    <xf numFmtId="169" fontId="2" fillId="0" borderId="0" xfId="0" applyNumberFormat="1" applyFont="1" applyBorder="1"/>
    <xf numFmtId="0" fontId="8" fillId="0" borderId="9" xfId="0" applyFont="1" applyFill="1" applyBorder="1" applyAlignment="1">
      <alignment vertical="center" wrapText="1"/>
    </xf>
    <xf numFmtId="44" fontId="0" fillId="0" borderId="0" xfId="1" applyFont="1" applyBorder="1"/>
    <xf numFmtId="6" fontId="0" fillId="0" borderId="0" xfId="0" applyNumberFormat="1"/>
    <xf numFmtId="164" fontId="0" fillId="0" borderId="1" xfId="2" applyFont="1" applyFill="1" applyBorder="1"/>
    <xf numFmtId="44" fontId="0" fillId="0" borderId="0" xfId="1" applyFont="1" applyFill="1"/>
    <xf numFmtId="165" fontId="2" fillId="0" borderId="0" xfId="0" applyNumberFormat="1" applyFont="1" applyFill="1" applyBorder="1"/>
    <xf numFmtId="165" fontId="0" fillId="0" borderId="1" xfId="0" applyNumberFormat="1" applyFont="1" applyFill="1" applyBorder="1"/>
    <xf numFmtId="0" fontId="2" fillId="2" borderId="0" xfId="0" applyFont="1" applyFill="1" applyBorder="1"/>
    <xf numFmtId="44" fontId="2" fillId="2" borderId="4" xfId="1" applyFont="1" applyFill="1" applyBorder="1"/>
    <xf numFmtId="44" fontId="0" fillId="0" borderId="1" xfId="1" applyFont="1" applyFill="1" applyBorder="1"/>
    <xf numFmtId="0" fontId="2" fillId="2" borderId="0" xfId="0" applyFont="1" applyFill="1"/>
    <xf numFmtId="169" fontId="2" fillId="2" borderId="4" xfId="0" applyNumberFormat="1" applyFont="1" applyFill="1" applyBorder="1"/>
    <xf numFmtId="44" fontId="2" fillId="2" borderId="4" xfId="0" applyNumberFormat="1" applyFont="1" applyFill="1" applyBorder="1"/>
    <xf numFmtId="0" fontId="0" fillId="0" borderId="9" xfId="0" applyBorder="1"/>
    <xf numFmtId="3" fontId="2" fillId="2" borderId="0" xfId="0" applyNumberFormat="1" applyFont="1" applyFill="1" applyBorder="1"/>
    <xf numFmtId="44" fontId="2" fillId="0" borderId="0" xfId="1" applyFont="1" applyAlignment="1">
      <alignment horizontal="left"/>
    </xf>
    <xf numFmtId="0" fontId="13" fillId="0" borderId="0" xfId="0" applyFont="1" applyFill="1" applyBorder="1"/>
    <xf numFmtId="44" fontId="2" fillId="0" borderId="4" xfId="1" applyFont="1" applyFill="1" applyBorder="1"/>
    <xf numFmtId="44" fontId="0" fillId="2" borderId="0" xfId="1" applyFont="1" applyFill="1"/>
    <xf numFmtId="44" fontId="0" fillId="0" borderId="1" xfId="0" applyNumberFormat="1" applyBorder="1"/>
    <xf numFmtId="44" fontId="0" fillId="0" borderId="2" xfId="0" applyNumberFormat="1" applyBorder="1"/>
    <xf numFmtId="44" fontId="0" fillId="0" borderId="3" xfId="0" applyNumberFormat="1" applyBorder="1"/>
    <xf numFmtId="0" fontId="2" fillId="3" borderId="0" xfId="0" applyFont="1" applyFill="1"/>
    <xf numFmtId="44" fontId="2" fillId="3" borderId="0" xfId="0" applyNumberFormat="1" applyFont="1" applyFill="1"/>
    <xf numFmtId="170" fontId="0" fillId="0" borderId="2" xfId="3" applyNumberFormat="1" applyFont="1" applyBorder="1"/>
    <xf numFmtId="170" fontId="0" fillId="0" borderId="1" xfId="3" applyNumberFormat="1" applyFont="1" applyBorder="1"/>
    <xf numFmtId="170" fontId="0" fillId="0" borderId="3" xfId="3" applyNumberFormat="1" applyFont="1" applyBorder="1"/>
    <xf numFmtId="0" fontId="2" fillId="4" borderId="0" xfId="0" applyFont="1" applyFill="1"/>
    <xf numFmtId="44" fontId="2" fillId="4" borderId="0" xfId="0" applyNumberFormat="1" applyFont="1" applyFill="1"/>
  </cellXfs>
  <cellStyles count="4">
    <cellStyle name="Currency" xfId="1" builtinId="4"/>
    <cellStyle name="Currency 2" xfId="2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CCE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I19" sqref="I19"/>
    </sheetView>
  </sheetViews>
  <sheetFormatPr defaultRowHeight="14.4" x14ac:dyDescent="0.3"/>
  <cols>
    <col min="1" max="1" width="31.6640625" bestFit="1" customWidth="1"/>
    <col min="2" max="2" width="12.33203125" bestFit="1" customWidth="1"/>
    <col min="4" max="4" width="27.5546875" bestFit="1" customWidth="1"/>
    <col min="7" max="7" width="32" bestFit="1" customWidth="1"/>
    <col min="8" max="8" width="11.33203125" bestFit="1" customWidth="1"/>
  </cols>
  <sheetData>
    <row r="1" spans="1:8" x14ac:dyDescent="0.3">
      <c r="A1" s="1" t="s">
        <v>477</v>
      </c>
    </row>
    <row r="3" spans="1:8" ht="15" thickBot="1" x14ac:dyDescent="0.35">
      <c r="A3" s="132" t="s">
        <v>487</v>
      </c>
      <c r="B3" s="133">
        <f>SUM(B4:B25)</f>
        <v>770123.80666666653</v>
      </c>
      <c r="D3" s="132" t="s">
        <v>488</v>
      </c>
      <c r="G3" s="137" t="s">
        <v>489</v>
      </c>
      <c r="H3" s="138">
        <f>SUM(H4:H25)</f>
        <v>77012.380666666664</v>
      </c>
    </row>
    <row r="4" spans="1:8" x14ac:dyDescent="0.3">
      <c r="A4" t="s">
        <v>478</v>
      </c>
      <c r="B4" s="129">
        <f>'General Office'!B2</f>
        <v>91886</v>
      </c>
      <c r="D4" s="135">
        <f>(B4/$B$3)</f>
        <v>0.11931328340271802</v>
      </c>
      <c r="G4" s="18" t="s">
        <v>478</v>
      </c>
      <c r="H4" s="129">
        <f>B4*0.1</f>
        <v>9188.6</v>
      </c>
    </row>
    <row r="5" spans="1:8" x14ac:dyDescent="0.3">
      <c r="A5" t="s">
        <v>0</v>
      </c>
      <c r="B5" s="130">
        <f>Chair!B3</f>
        <v>24350</v>
      </c>
      <c r="D5" s="134">
        <f>(B5/$B$3)</f>
        <v>3.1618292785148813E-2</v>
      </c>
      <c r="G5" s="18" t="s">
        <v>0</v>
      </c>
      <c r="H5" s="130">
        <f>B5*0.1</f>
        <v>2435</v>
      </c>
    </row>
    <row r="6" spans="1:8" x14ac:dyDescent="0.3">
      <c r="A6" t="s">
        <v>479</v>
      </c>
      <c r="B6" s="130">
        <f>Vice!B3</f>
        <v>33447</v>
      </c>
      <c r="D6" s="134">
        <f>(B6/$B$3)</f>
        <v>4.3430679210877711E-2</v>
      </c>
      <c r="G6" s="18" t="s">
        <v>479</v>
      </c>
      <c r="H6" s="130">
        <f>B6*0.1</f>
        <v>3344.7000000000003</v>
      </c>
    </row>
    <row r="7" spans="1:8" x14ac:dyDescent="0.3">
      <c r="A7" t="s">
        <v>404</v>
      </c>
      <c r="B7" s="9">
        <f>MASC!B3</f>
        <v>47530</v>
      </c>
      <c r="D7" s="134">
        <f>(B7/$B$3)</f>
        <v>6.1717349325590268E-2</v>
      </c>
      <c r="G7" s="18" t="s">
        <v>404</v>
      </c>
      <c r="H7" s="130">
        <f>B7*0.1</f>
        <v>4753</v>
      </c>
    </row>
    <row r="8" spans="1:8" x14ac:dyDescent="0.3">
      <c r="A8" t="s">
        <v>434</v>
      </c>
      <c r="B8" s="130">
        <f>TSR!B3</f>
        <v>2200</v>
      </c>
      <c r="D8" s="134">
        <f>(B8/$B$3)</f>
        <v>2.8566835370565659E-3</v>
      </c>
      <c r="G8" s="18" t="s">
        <v>434</v>
      </c>
      <c r="H8" s="130">
        <f>B8*0.1</f>
        <v>220</v>
      </c>
    </row>
    <row r="9" spans="1:8" x14ac:dyDescent="0.3">
      <c r="A9" t="s">
        <v>480</v>
      </c>
      <c r="B9" s="130">
        <f>Secretary!B3</f>
        <v>6500</v>
      </c>
      <c r="D9" s="134">
        <f>(B9/$B$3)</f>
        <v>8.4402013594853092E-3</v>
      </c>
      <c r="G9" s="18" t="s">
        <v>480</v>
      </c>
      <c r="H9" s="130">
        <f>B9*0.1</f>
        <v>650</v>
      </c>
    </row>
    <row r="10" spans="1:8" x14ac:dyDescent="0.3">
      <c r="A10" t="s">
        <v>83</v>
      </c>
      <c r="B10" s="130">
        <f>Treasurer!B4</f>
        <v>13000</v>
      </c>
      <c r="D10" s="134">
        <f>(B10/$B$3)</f>
        <v>1.6880402718970618E-2</v>
      </c>
      <c r="G10" s="18" t="s">
        <v>83</v>
      </c>
      <c r="H10" s="130">
        <f>B10*0.1</f>
        <v>1300</v>
      </c>
    </row>
    <row r="11" spans="1:8" x14ac:dyDescent="0.3">
      <c r="A11" t="s">
        <v>91</v>
      </c>
      <c r="B11" s="130">
        <f>Societies!B5</f>
        <v>88090</v>
      </c>
      <c r="D11" s="134">
        <f>(B11/$B$3)</f>
        <v>0.11438420580877859</v>
      </c>
      <c r="G11" s="18" t="s">
        <v>91</v>
      </c>
      <c r="H11" s="130">
        <f>B11*0.1</f>
        <v>8809</v>
      </c>
    </row>
    <row r="12" spans="1:8" x14ac:dyDescent="0.3">
      <c r="A12" t="s">
        <v>116</v>
      </c>
      <c r="B12" s="130">
        <f>AAC!B3</f>
        <v>55627.360000000001</v>
      </c>
      <c r="D12" s="134">
        <f>(B12/$B$3)</f>
        <v>7.2231710691781331E-2</v>
      </c>
      <c r="G12" s="18" t="s">
        <v>116</v>
      </c>
      <c r="H12" s="130">
        <f>B12*0.1</f>
        <v>5562.7360000000008</v>
      </c>
    </row>
    <row r="13" spans="1:8" x14ac:dyDescent="0.3">
      <c r="A13" t="s">
        <v>134</v>
      </c>
      <c r="B13" s="130">
        <f>SUI!B3</f>
        <v>52100</v>
      </c>
      <c r="D13" s="134">
        <f>(B13/$B$3)</f>
        <v>6.7651460127566856E-2</v>
      </c>
      <c r="G13" s="18" t="s">
        <v>134</v>
      </c>
      <c r="H13" s="130">
        <f>B13*0.1</f>
        <v>5210</v>
      </c>
    </row>
    <row r="14" spans="1:8" x14ac:dyDescent="0.3">
      <c r="A14" t="s">
        <v>152</v>
      </c>
      <c r="B14" s="130">
        <f>'Special Needs'!B3</f>
        <v>20830</v>
      </c>
      <c r="D14" s="134">
        <f>(B14/$B$3)</f>
        <v>2.7047599125858305E-2</v>
      </c>
      <c r="G14" s="18" t="s">
        <v>152</v>
      </c>
      <c r="H14" s="130">
        <f>B14*0.1</f>
        <v>2083</v>
      </c>
    </row>
    <row r="15" spans="1:8" x14ac:dyDescent="0.3">
      <c r="A15" t="s">
        <v>177</v>
      </c>
      <c r="B15" s="130">
        <f>'Senior Prims'!B3</f>
        <v>25460</v>
      </c>
      <c r="D15" s="134">
        <f>(B15/$B$3)</f>
        <v>3.3059619478845531E-2</v>
      </c>
      <c r="G15" s="18" t="s">
        <v>177</v>
      </c>
      <c r="H15" s="130">
        <f>B15*0.1</f>
        <v>2546</v>
      </c>
    </row>
    <row r="16" spans="1:8" x14ac:dyDescent="0.3">
      <c r="A16" t="s">
        <v>481</v>
      </c>
      <c r="B16" s="130">
        <f>'Womxn Queer'!B3</f>
        <v>19023.330000000002</v>
      </c>
      <c r="D16" s="134">
        <f>(B16/$B$3)</f>
        <v>2.4701651650451951E-2</v>
      </c>
      <c r="G16" s="18" t="s">
        <v>481</v>
      </c>
      <c r="H16" s="130">
        <f>B16*0.1</f>
        <v>1902.3330000000003</v>
      </c>
    </row>
    <row r="17" spans="1:8" x14ac:dyDescent="0.3">
      <c r="A17" t="s">
        <v>482</v>
      </c>
      <c r="B17" s="130">
        <f>Sports!B3</f>
        <v>59000</v>
      </c>
      <c r="D17" s="134">
        <f>(B17/$B$3)</f>
        <v>7.6611058493789727E-2</v>
      </c>
      <c r="G17" s="18" t="s">
        <v>482</v>
      </c>
      <c r="H17" s="130">
        <f>B17*0.1</f>
        <v>5900</v>
      </c>
    </row>
    <row r="18" spans="1:8" x14ac:dyDescent="0.3">
      <c r="A18" t="s">
        <v>483</v>
      </c>
      <c r="B18" s="130">
        <f>Leadership!B3</f>
        <v>10650</v>
      </c>
      <c r="D18" s="134">
        <f>(B18/$B$3)</f>
        <v>1.3828945304387467E-2</v>
      </c>
      <c r="G18" s="18" t="s">
        <v>483</v>
      </c>
      <c r="H18" s="130">
        <f>B18*0.1</f>
        <v>1065</v>
      </c>
    </row>
    <row r="19" spans="1:8" x14ac:dyDescent="0.3">
      <c r="A19" t="s">
        <v>220</v>
      </c>
      <c r="B19" s="130">
        <f>'Safety and Security'!B3</f>
        <v>45427</v>
      </c>
      <c r="D19" s="134">
        <f>(B19/$B$3)</f>
        <v>5.8986619562667555E-2</v>
      </c>
      <c r="G19" s="18" t="s">
        <v>220</v>
      </c>
      <c r="H19" s="130">
        <f>B19*0.1</f>
        <v>4542.7</v>
      </c>
    </row>
    <row r="20" spans="1:8" x14ac:dyDescent="0.3">
      <c r="A20" t="s">
        <v>257</v>
      </c>
      <c r="B20" s="130">
        <f>Comms!B3</f>
        <v>10300</v>
      </c>
      <c r="D20" s="134">
        <f>(B20/$B$3)</f>
        <v>1.3374472923492104E-2</v>
      </c>
      <c r="G20" s="18" t="s">
        <v>257</v>
      </c>
      <c r="H20" s="130">
        <f>B20*0.1</f>
        <v>1030</v>
      </c>
    </row>
    <row r="21" spans="1:8" x14ac:dyDescent="0.3">
      <c r="A21" t="s">
        <v>484</v>
      </c>
      <c r="B21" s="130">
        <f>KuKo!B7</f>
        <v>47638.45</v>
      </c>
      <c r="D21" s="134">
        <f>(B21/$B$3)</f>
        <v>6.1858170839041986E-2</v>
      </c>
      <c r="G21" s="18" t="s">
        <v>484</v>
      </c>
      <c r="H21" s="130">
        <f>B21*0.1</f>
        <v>4763.8450000000003</v>
      </c>
    </row>
    <row r="22" spans="1:8" x14ac:dyDescent="0.3">
      <c r="A22" t="s">
        <v>320</v>
      </c>
      <c r="B22" s="130">
        <f>Transformation!B3</f>
        <v>18950</v>
      </c>
      <c r="D22" s="134">
        <f>(B22/$B$3)</f>
        <v>2.4606433194191785E-2</v>
      </c>
      <c r="G22" s="18" t="s">
        <v>320</v>
      </c>
      <c r="H22" s="130">
        <f>B22*0.1</f>
        <v>1895</v>
      </c>
    </row>
    <row r="23" spans="1:8" x14ac:dyDescent="0.3">
      <c r="A23" t="s">
        <v>337</v>
      </c>
      <c r="B23" s="130">
        <f>'Student Wellness'!B3</f>
        <v>70034.666666666657</v>
      </c>
      <c r="D23" s="134">
        <f>(B23/$B$3)</f>
        <v>9.0939490586323127E-2</v>
      </c>
      <c r="G23" s="18" t="s">
        <v>337</v>
      </c>
      <c r="H23" s="130">
        <f>B23*0.1</f>
        <v>7003.4666666666662</v>
      </c>
    </row>
    <row r="24" spans="1:8" x14ac:dyDescent="0.3">
      <c r="A24" t="s">
        <v>418</v>
      </c>
      <c r="B24" s="130">
        <f>Branding!B3</f>
        <v>19860</v>
      </c>
      <c r="D24" s="134">
        <f>(B24/$B$3)</f>
        <v>2.578806138451973E-2</v>
      </c>
      <c r="G24" s="18" t="s">
        <v>418</v>
      </c>
      <c r="H24" s="130">
        <f>B24*0.1</f>
        <v>1986</v>
      </c>
    </row>
    <row r="25" spans="1:8" ht="15" thickBot="1" x14ac:dyDescent="0.35">
      <c r="A25" t="s">
        <v>485</v>
      </c>
      <c r="B25" s="131">
        <f>'Sustainability '!B3</f>
        <v>8220</v>
      </c>
      <c r="D25" s="136">
        <f>(B25/$B$3)</f>
        <v>1.0673608488456806E-2</v>
      </c>
      <c r="G25" s="18" t="s">
        <v>485</v>
      </c>
      <c r="H25" s="131">
        <f>B25*0.1</f>
        <v>822</v>
      </c>
    </row>
    <row r="26" spans="1:8" x14ac:dyDescent="0.3">
      <c r="B26" s="16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F24" sqref="F24"/>
    </sheetView>
  </sheetViews>
  <sheetFormatPr defaultRowHeight="14.4" x14ac:dyDescent="0.3"/>
  <cols>
    <col min="1" max="1" width="31.109375" bestFit="1" customWidth="1"/>
    <col min="2" max="2" width="12.33203125" bestFit="1" customWidth="1"/>
    <col min="3" max="3" width="27.109375" bestFit="1" customWidth="1"/>
  </cols>
  <sheetData>
    <row r="1" spans="1:9" x14ac:dyDescent="0.3">
      <c r="A1" s="1" t="s">
        <v>116</v>
      </c>
    </row>
    <row r="2" spans="1:9" ht="15" thickBot="1" x14ac:dyDescent="0.35">
      <c r="A2" t="s">
        <v>117</v>
      </c>
    </row>
    <row r="3" spans="1:9" ht="15" thickBot="1" x14ac:dyDescent="0.35">
      <c r="A3" s="120" t="s">
        <v>136</v>
      </c>
      <c r="B3" s="118">
        <v>55627.360000000001</v>
      </c>
      <c r="C3" s="18"/>
      <c r="D3" s="1"/>
      <c r="E3" s="18"/>
      <c r="F3" s="18"/>
      <c r="G3" s="18"/>
      <c r="H3" s="18"/>
      <c r="I3" s="18"/>
    </row>
    <row r="4" spans="1:9" x14ac:dyDescent="0.3">
      <c r="A4" s="1" t="s">
        <v>109</v>
      </c>
      <c r="B4" s="16">
        <f>-(B6-B10)</f>
        <v>55627.360000000015</v>
      </c>
      <c r="C4" s="18"/>
      <c r="D4" s="18"/>
      <c r="E4" s="18"/>
      <c r="F4" s="18"/>
      <c r="G4" s="18"/>
      <c r="H4" s="18"/>
      <c r="I4" s="18"/>
    </row>
    <row r="5" spans="1:9" x14ac:dyDescent="0.3">
      <c r="A5" s="18"/>
      <c r="B5" s="18"/>
      <c r="C5" s="3"/>
      <c r="D5" s="18"/>
      <c r="E5" s="18"/>
      <c r="F5" s="18"/>
      <c r="G5" s="18"/>
      <c r="H5" s="18"/>
      <c r="I5" s="18"/>
    </row>
    <row r="6" spans="1:9" ht="15" thickBot="1" x14ac:dyDescent="0.35">
      <c r="A6" s="2" t="s">
        <v>118</v>
      </c>
      <c r="B6" s="34">
        <f>SUM(B7:B8)</f>
        <v>54614.5</v>
      </c>
      <c r="C6" s="18"/>
      <c r="D6" s="18"/>
      <c r="E6" s="18"/>
      <c r="F6" s="18"/>
      <c r="G6" s="18"/>
      <c r="H6" s="18"/>
      <c r="I6" s="18"/>
    </row>
    <row r="7" spans="1:9" x14ac:dyDescent="0.3">
      <c r="A7" s="18" t="s">
        <v>119</v>
      </c>
      <c r="B7" s="35">
        <v>43937.5</v>
      </c>
      <c r="C7" s="18"/>
      <c r="D7" s="18"/>
      <c r="E7" s="18"/>
      <c r="F7" s="18"/>
      <c r="G7" s="18"/>
      <c r="H7" s="18"/>
      <c r="I7" s="18"/>
    </row>
    <row r="8" spans="1:9" ht="15" thickBot="1" x14ac:dyDescent="0.35">
      <c r="A8" s="18" t="s">
        <v>120</v>
      </c>
      <c r="B8" s="36">
        <v>10677</v>
      </c>
      <c r="C8" s="18"/>
      <c r="D8" s="18"/>
      <c r="E8" s="18"/>
      <c r="F8" s="18"/>
      <c r="G8" s="18"/>
      <c r="H8" s="18"/>
      <c r="I8" s="18"/>
    </row>
    <row r="9" spans="1:9" x14ac:dyDescent="0.3">
      <c r="A9" s="18"/>
      <c r="B9" s="7"/>
      <c r="C9" s="18"/>
      <c r="D9" s="18"/>
      <c r="E9" s="18"/>
      <c r="F9" s="18"/>
      <c r="G9" s="18"/>
      <c r="H9" s="18"/>
      <c r="I9" s="18"/>
    </row>
    <row r="10" spans="1:9" ht="15" thickBot="1" x14ac:dyDescent="0.35">
      <c r="A10" s="1" t="s">
        <v>2</v>
      </c>
      <c r="B10" s="11">
        <f>SUM(B11:B18)</f>
        <v>110241.86000000002</v>
      </c>
      <c r="C10" s="18"/>
      <c r="D10" s="18"/>
      <c r="E10" s="18"/>
      <c r="F10" s="18"/>
      <c r="G10" s="18"/>
      <c r="H10" s="18"/>
      <c r="I10" s="18"/>
    </row>
    <row r="11" spans="1:9" x14ac:dyDescent="0.3">
      <c r="A11" s="18" t="s">
        <v>121</v>
      </c>
      <c r="B11" s="8">
        <f>304.45+508.81+450+3522</f>
        <v>4785.26</v>
      </c>
      <c r="C11" s="18"/>
      <c r="D11" s="18"/>
      <c r="E11" s="18"/>
      <c r="F11" s="18"/>
      <c r="G11" s="18"/>
      <c r="H11" s="18"/>
      <c r="I11" s="18"/>
    </row>
    <row r="12" spans="1:9" x14ac:dyDescent="0.3">
      <c r="A12" s="18" t="s">
        <v>122</v>
      </c>
      <c r="B12" s="9">
        <v>10000</v>
      </c>
      <c r="C12" s="18"/>
      <c r="D12" s="18"/>
      <c r="E12" s="18"/>
      <c r="F12" s="18"/>
      <c r="G12" s="18"/>
      <c r="H12" s="18"/>
      <c r="I12" s="18"/>
    </row>
    <row r="13" spans="1:9" x14ac:dyDescent="0.3">
      <c r="A13" s="18" t="s">
        <v>123</v>
      </c>
      <c r="B13" s="9">
        <v>10000</v>
      </c>
      <c r="C13" s="18"/>
      <c r="D13" s="18"/>
      <c r="E13" s="18"/>
      <c r="F13" s="18"/>
      <c r="G13" s="18"/>
      <c r="H13" s="18"/>
      <c r="I13" s="18"/>
    </row>
    <row r="14" spans="1:9" x14ac:dyDescent="0.3">
      <c r="A14" s="18" t="s">
        <v>124</v>
      </c>
      <c r="B14" s="9">
        <v>18000</v>
      </c>
      <c r="C14" s="18"/>
      <c r="D14" s="18"/>
      <c r="E14" s="18"/>
      <c r="F14" s="18"/>
      <c r="G14" s="18"/>
      <c r="H14" s="18"/>
      <c r="I14" s="18"/>
    </row>
    <row r="15" spans="1:9" x14ac:dyDescent="0.3">
      <c r="A15" s="18" t="s">
        <v>125</v>
      </c>
      <c r="B15" s="9">
        <v>55000</v>
      </c>
      <c r="C15" s="18"/>
      <c r="D15" s="18"/>
      <c r="E15" s="18"/>
      <c r="F15" s="18"/>
      <c r="G15" s="18"/>
      <c r="H15" s="18"/>
      <c r="I15" s="18"/>
    </row>
    <row r="16" spans="1:9" x14ac:dyDescent="0.3">
      <c r="A16" s="18" t="s">
        <v>126</v>
      </c>
      <c r="B16" s="9">
        <v>1000</v>
      </c>
      <c r="C16" s="18"/>
      <c r="D16" s="18"/>
      <c r="E16" s="18"/>
      <c r="F16" s="18"/>
      <c r="G16" s="18"/>
      <c r="H16" s="18"/>
      <c r="I16" s="18"/>
    </row>
    <row r="17" spans="1:9" x14ac:dyDescent="0.3">
      <c r="A17" s="18" t="s">
        <v>127</v>
      </c>
      <c r="B17" s="9">
        <f>10000*1.06</f>
        <v>10600</v>
      </c>
      <c r="C17" s="18"/>
      <c r="D17" s="18"/>
      <c r="E17" s="18"/>
      <c r="F17" s="18"/>
      <c r="G17" s="18"/>
      <c r="H17" s="18"/>
      <c r="I17" s="18"/>
    </row>
    <row r="18" spans="1:9" ht="15" thickBot="1" x14ac:dyDescent="0.35">
      <c r="A18" s="18" t="s">
        <v>128</v>
      </c>
      <c r="B18" s="10">
        <f>SUM(218.4+432.28+205.92)</f>
        <v>856.59999999999991</v>
      </c>
      <c r="C18" s="18"/>
      <c r="D18" s="18"/>
      <c r="E18" s="18"/>
      <c r="F18" s="18"/>
      <c r="G18" s="18"/>
      <c r="H18" s="18"/>
      <c r="I18" s="18"/>
    </row>
    <row r="19" spans="1:9" x14ac:dyDescent="0.3">
      <c r="C19" s="18"/>
      <c r="D19" s="18"/>
      <c r="E19" s="18"/>
      <c r="F19" s="18"/>
      <c r="G19" s="18"/>
      <c r="H19" s="18"/>
      <c r="I19" s="18"/>
    </row>
    <row r="20" spans="1:9" x14ac:dyDescent="0.3">
      <c r="E20" s="18"/>
      <c r="F20" s="18"/>
      <c r="G20" s="18"/>
      <c r="H20" s="18"/>
      <c r="I20" s="18"/>
    </row>
    <row r="21" spans="1:9" x14ac:dyDescent="0.3">
      <c r="F21" s="18"/>
      <c r="G21" s="18"/>
      <c r="H21" s="18"/>
      <c r="I21" s="18"/>
    </row>
    <row r="22" spans="1:9" x14ac:dyDescent="0.3">
      <c r="A22" s="18" t="s">
        <v>9</v>
      </c>
      <c r="B22" s="18"/>
      <c r="C22" s="18"/>
      <c r="D22" s="18"/>
      <c r="E22" s="18"/>
      <c r="F22" s="18"/>
      <c r="G22" s="18"/>
      <c r="H22" s="18"/>
      <c r="I22" s="18"/>
    </row>
    <row r="23" spans="1:9" x14ac:dyDescent="0.3">
      <c r="A23" s="18" t="s">
        <v>129</v>
      </c>
      <c r="B23" s="18"/>
      <c r="C23" s="18"/>
      <c r="D23" s="18"/>
      <c r="E23" s="18"/>
      <c r="F23" s="18"/>
      <c r="G23" s="18"/>
      <c r="H23" s="18"/>
      <c r="I23" s="18"/>
    </row>
    <row r="24" spans="1:9" x14ac:dyDescent="0.3">
      <c r="A24" s="18" t="s">
        <v>130</v>
      </c>
      <c r="B24" s="18"/>
      <c r="C24" s="18"/>
      <c r="D24" s="18"/>
      <c r="E24" s="18"/>
      <c r="F24" s="18"/>
      <c r="G24" s="18"/>
      <c r="H24" s="18"/>
      <c r="I24" s="18"/>
    </row>
    <row r="25" spans="1:9" x14ac:dyDescent="0.3">
      <c r="A25" s="18" t="s">
        <v>131</v>
      </c>
      <c r="B25" s="18"/>
      <c r="C25" s="18"/>
      <c r="D25" s="18"/>
      <c r="E25" s="18"/>
      <c r="F25" s="18"/>
      <c r="G25" s="18"/>
      <c r="H25" s="18"/>
      <c r="I25" s="18"/>
    </row>
    <row r="26" spans="1:9" x14ac:dyDescent="0.3">
      <c r="A26" s="18" t="s">
        <v>132</v>
      </c>
      <c r="B26" s="18"/>
      <c r="C26" s="18"/>
      <c r="D26" s="18"/>
      <c r="E26" s="18"/>
      <c r="F26" s="18"/>
      <c r="G26" s="18"/>
      <c r="H26" s="18"/>
      <c r="I26" s="18"/>
    </row>
    <row r="27" spans="1:9" x14ac:dyDescent="0.3">
      <c r="A27" s="18"/>
      <c r="B27" s="18"/>
      <c r="C27" s="18"/>
      <c r="D27" s="18"/>
      <c r="E27" s="18"/>
      <c r="F27" s="18"/>
      <c r="G27" s="18"/>
      <c r="H27" s="18"/>
      <c r="I27" s="18"/>
    </row>
    <row r="28" spans="1:9" x14ac:dyDescent="0.3">
      <c r="A28" s="18" t="s">
        <v>18</v>
      </c>
      <c r="B28" s="18"/>
      <c r="C28" s="18"/>
      <c r="D28" s="18"/>
      <c r="E28" s="18"/>
      <c r="F28" s="18"/>
      <c r="G28" s="18"/>
      <c r="H28" s="18"/>
      <c r="I28" s="18"/>
    </row>
    <row r="29" spans="1:9" x14ac:dyDescent="0.3">
      <c r="A29" s="18" t="s">
        <v>133</v>
      </c>
      <c r="B29" s="18"/>
      <c r="C29" s="18"/>
      <c r="D29" s="18"/>
      <c r="E29" s="18"/>
      <c r="F29" s="18"/>
      <c r="G29" s="18"/>
      <c r="H29" s="18"/>
      <c r="I29" s="18"/>
    </row>
    <row r="30" spans="1:9" x14ac:dyDescent="0.3">
      <c r="B30" s="18"/>
      <c r="C30" s="18"/>
      <c r="D30" s="18"/>
      <c r="E30" s="18"/>
      <c r="F30" s="18"/>
      <c r="G30" s="18"/>
      <c r="H30" s="18"/>
      <c r="I30" s="18"/>
    </row>
    <row r="31" spans="1:9" x14ac:dyDescent="0.3">
      <c r="B31" s="18"/>
      <c r="C31" s="18"/>
      <c r="D31" s="18"/>
      <c r="E31" s="18"/>
      <c r="F31" s="18"/>
      <c r="G31" s="18"/>
      <c r="H31" s="18"/>
      <c r="I31" s="18"/>
    </row>
    <row r="35" spans="1:9" x14ac:dyDescent="0.3">
      <c r="A35" s="18"/>
      <c r="B35" s="18"/>
      <c r="C35" s="18"/>
      <c r="D35" s="18"/>
      <c r="E35" s="18"/>
      <c r="F35" s="18"/>
      <c r="G35" s="18"/>
      <c r="H35" s="18"/>
      <c r="I35" s="1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E3" sqref="E3"/>
    </sheetView>
  </sheetViews>
  <sheetFormatPr defaultRowHeight="14.4" x14ac:dyDescent="0.3"/>
  <cols>
    <col min="1" max="1" width="41.44140625" bestFit="1" customWidth="1"/>
    <col min="2" max="2" width="11.44140625" bestFit="1" customWidth="1"/>
  </cols>
  <sheetData>
    <row r="1" spans="1:3" x14ac:dyDescent="0.3">
      <c r="A1" s="1" t="s">
        <v>134</v>
      </c>
    </row>
    <row r="2" spans="1:3" ht="15" thickBot="1" x14ac:dyDescent="0.35">
      <c r="A2" t="s">
        <v>135</v>
      </c>
    </row>
    <row r="3" spans="1:3" ht="15" thickBot="1" x14ac:dyDescent="0.35">
      <c r="A3" s="120" t="s">
        <v>136</v>
      </c>
      <c r="B3" s="122">
        <f>B4</f>
        <v>52100</v>
      </c>
    </row>
    <row r="4" spans="1:3" ht="15" thickBot="1" x14ac:dyDescent="0.35">
      <c r="A4" s="1" t="s">
        <v>2</v>
      </c>
      <c r="B4" s="11">
        <f>SUM(B5:B10)</f>
        <v>52100</v>
      </c>
      <c r="C4" s="18"/>
    </row>
    <row r="5" spans="1:3" x14ac:dyDescent="0.3">
      <c r="A5" s="18" t="s">
        <v>126</v>
      </c>
      <c r="B5" s="8">
        <v>1000</v>
      </c>
      <c r="C5" s="18"/>
    </row>
    <row r="6" spans="1:3" x14ac:dyDescent="0.3">
      <c r="A6" s="18" t="s">
        <v>138</v>
      </c>
      <c r="B6" s="9">
        <f>50*5</f>
        <v>250</v>
      </c>
      <c r="C6" s="18"/>
    </row>
    <row r="7" spans="1:3" x14ac:dyDescent="0.3">
      <c r="A7" s="18" t="s">
        <v>139</v>
      </c>
      <c r="B7" s="9">
        <v>40000</v>
      </c>
      <c r="C7" s="18"/>
    </row>
    <row r="8" spans="1:3" x14ac:dyDescent="0.3">
      <c r="A8" s="18" t="s">
        <v>140</v>
      </c>
      <c r="B8" s="9">
        <f>1650+300</f>
        <v>1950</v>
      </c>
      <c r="C8" s="18"/>
    </row>
    <row r="9" spans="1:3" x14ac:dyDescent="0.3">
      <c r="A9" s="18" t="s">
        <v>141</v>
      </c>
      <c r="B9" s="9">
        <v>5000</v>
      </c>
      <c r="C9" s="18"/>
    </row>
    <row r="10" spans="1:3" ht="15" thickBot="1" x14ac:dyDescent="0.35">
      <c r="A10" s="18" t="s">
        <v>142</v>
      </c>
      <c r="B10" s="10">
        <f>60*65</f>
        <v>3900</v>
      </c>
      <c r="C10" s="18"/>
    </row>
    <row r="11" spans="1:3" x14ac:dyDescent="0.3">
      <c r="A11" s="18"/>
      <c r="B11" s="18"/>
      <c r="C11" s="18"/>
    </row>
    <row r="12" spans="1:3" x14ac:dyDescent="0.3">
      <c r="A12" s="1" t="s">
        <v>8</v>
      </c>
      <c r="B12" s="18"/>
      <c r="C12" s="18"/>
    </row>
    <row r="13" spans="1:3" x14ac:dyDescent="0.3">
      <c r="A13" s="18" t="s">
        <v>9</v>
      </c>
      <c r="B13" s="18"/>
      <c r="C13" s="18"/>
    </row>
    <row r="14" spans="1:3" x14ac:dyDescent="0.3">
      <c r="A14" s="18" t="s">
        <v>143</v>
      </c>
      <c r="B14" s="18"/>
      <c r="C14" s="18"/>
    </row>
    <row r="15" spans="1:3" x14ac:dyDescent="0.3">
      <c r="A15" s="18"/>
      <c r="B15" s="18"/>
      <c r="C15" s="18"/>
    </row>
    <row r="16" spans="1:3" x14ac:dyDescent="0.3">
      <c r="A16" s="18" t="s">
        <v>18</v>
      </c>
      <c r="B16" s="18"/>
      <c r="C16" s="18"/>
    </row>
    <row r="17" spans="1:3" x14ac:dyDescent="0.3">
      <c r="A17" s="18" t="s">
        <v>144</v>
      </c>
      <c r="B17" s="18"/>
      <c r="C17" s="18"/>
    </row>
    <row r="18" spans="1:3" x14ac:dyDescent="0.3">
      <c r="A18" s="18" t="s">
        <v>145</v>
      </c>
      <c r="B18" s="18"/>
      <c r="C18" s="18"/>
    </row>
    <row r="19" spans="1:3" x14ac:dyDescent="0.3">
      <c r="A19" s="18"/>
      <c r="B19" s="18"/>
      <c r="C19" s="18"/>
    </row>
    <row r="20" spans="1:3" x14ac:dyDescent="0.3">
      <c r="A20" s="18" t="s">
        <v>23</v>
      </c>
      <c r="B20" s="18"/>
      <c r="C20" s="18"/>
    </row>
    <row r="21" spans="1:3" x14ac:dyDescent="0.3">
      <c r="A21" s="18" t="s">
        <v>146</v>
      </c>
      <c r="B21" s="18"/>
      <c r="C21" s="18"/>
    </row>
    <row r="22" spans="1:3" x14ac:dyDescent="0.3">
      <c r="A22" s="18" t="s">
        <v>147</v>
      </c>
      <c r="B22" s="18"/>
      <c r="C22" s="18"/>
    </row>
    <row r="23" spans="1:3" x14ac:dyDescent="0.3">
      <c r="A23" s="18" t="s">
        <v>148</v>
      </c>
      <c r="B23" s="18"/>
      <c r="C23" s="18"/>
    </row>
    <row r="24" spans="1:3" x14ac:dyDescent="0.3">
      <c r="A24" s="18"/>
      <c r="B24" s="18"/>
      <c r="C24" s="18"/>
    </row>
    <row r="25" spans="1:3" x14ac:dyDescent="0.3">
      <c r="A25" s="18" t="s">
        <v>25</v>
      </c>
      <c r="B25" s="18"/>
      <c r="C25" s="18"/>
    </row>
    <row r="26" spans="1:3" x14ac:dyDescent="0.3">
      <c r="A26" s="18" t="s">
        <v>149</v>
      </c>
      <c r="B26" s="18"/>
      <c r="C26" s="18"/>
    </row>
    <row r="27" spans="1:3" x14ac:dyDescent="0.3">
      <c r="A27" s="18" t="s">
        <v>150</v>
      </c>
      <c r="B27" s="18"/>
      <c r="C27" s="18"/>
    </row>
    <row r="28" spans="1:3" x14ac:dyDescent="0.3">
      <c r="A28" s="18"/>
      <c r="B28" s="18"/>
      <c r="C28" s="18"/>
    </row>
    <row r="29" spans="1:3" x14ac:dyDescent="0.3">
      <c r="A29" s="18" t="s">
        <v>32</v>
      </c>
      <c r="B29" s="18"/>
      <c r="C29" s="18"/>
    </row>
    <row r="30" spans="1:3" x14ac:dyDescent="0.3">
      <c r="A30" s="18" t="s">
        <v>151</v>
      </c>
      <c r="B30" s="18"/>
      <c r="C30" s="18"/>
    </row>
    <row r="31" spans="1:3" x14ac:dyDescent="0.3">
      <c r="A31" s="18"/>
      <c r="B31" s="18"/>
      <c r="C31" s="18"/>
    </row>
    <row r="32" spans="1:3" x14ac:dyDescent="0.3">
      <c r="B32" s="18"/>
      <c r="C32" s="18"/>
    </row>
    <row r="33" spans="2:3" x14ac:dyDescent="0.3">
      <c r="B33" s="18"/>
      <c r="C33" s="18"/>
    </row>
    <row r="34" spans="2:3" x14ac:dyDescent="0.3">
      <c r="B34" s="18"/>
      <c r="C34" s="18"/>
    </row>
    <row r="35" spans="2:3" x14ac:dyDescent="0.3">
      <c r="B35" s="18"/>
      <c r="C35" s="1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G11" sqref="G11:H12"/>
    </sheetView>
  </sheetViews>
  <sheetFormatPr defaultRowHeight="14.4" x14ac:dyDescent="0.3"/>
  <cols>
    <col min="1" max="1" width="40.33203125" bestFit="1" customWidth="1"/>
    <col min="2" max="2" width="11.44140625" bestFit="1" customWidth="1"/>
  </cols>
  <sheetData>
    <row r="1" spans="1:4" x14ac:dyDescent="0.3">
      <c r="A1" s="1" t="s">
        <v>152</v>
      </c>
      <c r="B1" s="15"/>
      <c r="C1" s="15"/>
    </row>
    <row r="2" spans="1:4" ht="15" thickBot="1" x14ac:dyDescent="0.35">
      <c r="A2" s="15" t="s">
        <v>153</v>
      </c>
      <c r="B2" s="15"/>
      <c r="C2" s="15"/>
    </row>
    <row r="3" spans="1:4" ht="15" thickBot="1" x14ac:dyDescent="0.35">
      <c r="A3" s="120" t="s">
        <v>136</v>
      </c>
      <c r="B3" s="122">
        <f>B4</f>
        <v>20830</v>
      </c>
      <c r="C3" s="15"/>
    </row>
    <row r="4" spans="1:4" ht="15" thickBot="1" x14ac:dyDescent="0.35">
      <c r="A4" s="1" t="s">
        <v>2</v>
      </c>
      <c r="B4" s="11">
        <f>SUM(B5:B10)</f>
        <v>20830</v>
      </c>
      <c r="C4" s="15"/>
    </row>
    <row r="5" spans="1:4" x14ac:dyDescent="0.3">
      <c r="A5" s="37" t="s">
        <v>154</v>
      </c>
      <c r="B5" s="8">
        <f>(12*80)+3500+750+360</f>
        <v>5570</v>
      </c>
      <c r="C5" s="15"/>
    </row>
    <row r="6" spans="1:4" x14ac:dyDescent="0.3">
      <c r="A6" s="15" t="s">
        <v>155</v>
      </c>
      <c r="B6" s="9">
        <f>SUM(B21:B22)</f>
        <v>2910</v>
      </c>
      <c r="C6" s="15"/>
    </row>
    <row r="7" spans="1:4" x14ac:dyDescent="0.3">
      <c r="A7" s="15" t="s">
        <v>156</v>
      </c>
      <c r="B7" s="9">
        <f>1000+750</f>
        <v>1750</v>
      </c>
      <c r="C7" s="15"/>
    </row>
    <row r="8" spans="1:4" x14ac:dyDescent="0.3">
      <c r="A8" s="15" t="s">
        <v>157</v>
      </c>
      <c r="B8" s="9">
        <f>500*4.5</f>
        <v>2250</v>
      </c>
      <c r="C8" s="15"/>
    </row>
    <row r="9" spans="1:4" x14ac:dyDescent="0.3">
      <c r="A9" s="15" t="s">
        <v>126</v>
      </c>
      <c r="B9" s="9">
        <v>1000</v>
      </c>
      <c r="C9" s="15"/>
    </row>
    <row r="10" spans="1:4" ht="15" thickBot="1" x14ac:dyDescent="0.35">
      <c r="A10" s="15" t="s">
        <v>158</v>
      </c>
      <c r="B10" s="10">
        <f>SUM(B29:B31)</f>
        <v>7350</v>
      </c>
      <c r="C10" s="15"/>
    </row>
    <row r="11" spans="1:4" x14ac:dyDescent="0.3">
      <c r="A11" s="15"/>
      <c r="B11" s="15"/>
      <c r="C11" s="15"/>
    </row>
    <row r="12" spans="1:4" x14ac:dyDescent="0.3">
      <c r="A12" s="1" t="s">
        <v>8</v>
      </c>
      <c r="B12" s="15"/>
      <c r="C12" s="15"/>
      <c r="D12" s="15"/>
    </row>
    <row r="13" spans="1:4" x14ac:dyDescent="0.3">
      <c r="A13" s="15" t="s">
        <v>9</v>
      </c>
      <c r="B13" s="15"/>
      <c r="C13" s="15"/>
      <c r="D13" s="15"/>
    </row>
    <row r="14" spans="1:4" x14ac:dyDescent="0.3">
      <c r="A14" s="39" t="s">
        <v>170</v>
      </c>
      <c r="B14" s="40">
        <v>12</v>
      </c>
      <c r="C14" s="15"/>
      <c r="D14" s="15"/>
    </row>
    <row r="15" spans="1:4" x14ac:dyDescent="0.3">
      <c r="A15" s="39" t="s">
        <v>159</v>
      </c>
      <c r="B15" s="40">
        <v>80</v>
      </c>
      <c r="C15" s="15"/>
      <c r="D15" s="15"/>
    </row>
    <row r="16" spans="1:4" x14ac:dyDescent="0.3">
      <c r="A16" s="39" t="s">
        <v>160</v>
      </c>
      <c r="B16" s="41">
        <f>B14*B15</f>
        <v>960</v>
      </c>
      <c r="C16" s="15"/>
      <c r="D16" s="15"/>
    </row>
    <row r="17" spans="1:4" x14ac:dyDescent="0.3">
      <c r="A17" s="39" t="s">
        <v>111</v>
      </c>
      <c r="B17" s="42">
        <v>3500</v>
      </c>
      <c r="C17" s="15"/>
      <c r="D17" s="15"/>
    </row>
    <row r="18" spans="1:4" x14ac:dyDescent="0.3">
      <c r="A18" s="39" t="s">
        <v>161</v>
      </c>
      <c r="B18" s="40">
        <f>250*3</f>
        <v>750</v>
      </c>
      <c r="C18" s="15"/>
      <c r="D18" s="15"/>
    </row>
    <row r="19" spans="1:4" x14ac:dyDescent="0.3">
      <c r="A19" s="39" t="s">
        <v>162</v>
      </c>
      <c r="B19" s="43">
        <v>360</v>
      </c>
      <c r="C19" s="15"/>
      <c r="D19" s="15"/>
    </row>
    <row r="20" spans="1:4" x14ac:dyDescent="0.3">
      <c r="A20" s="39" t="s">
        <v>18</v>
      </c>
      <c r="B20" s="15"/>
      <c r="C20" s="15"/>
      <c r="D20" s="15"/>
    </row>
    <row r="21" spans="1:4" x14ac:dyDescent="0.3">
      <c r="A21" s="39" t="s">
        <v>163</v>
      </c>
      <c r="B21" s="38">
        <v>2660</v>
      </c>
      <c r="C21" s="15"/>
      <c r="D21" s="15"/>
    </row>
    <row r="22" spans="1:4" x14ac:dyDescent="0.3">
      <c r="A22" s="39" t="s">
        <v>164</v>
      </c>
      <c r="B22" s="38">
        <v>250</v>
      </c>
      <c r="C22" s="15"/>
      <c r="D22" s="15"/>
    </row>
    <row r="23" spans="1:4" x14ac:dyDescent="0.3">
      <c r="A23" s="15" t="s">
        <v>23</v>
      </c>
      <c r="B23" s="15"/>
      <c r="C23" s="15"/>
      <c r="D23" s="15"/>
    </row>
    <row r="24" spans="1:4" x14ac:dyDescent="0.3">
      <c r="A24" s="15" t="s">
        <v>165</v>
      </c>
      <c r="B24" s="15">
        <v>1000</v>
      </c>
      <c r="C24" s="15"/>
      <c r="D24" s="15"/>
    </row>
    <row r="25" spans="1:4" x14ac:dyDescent="0.3">
      <c r="A25" s="15" t="s">
        <v>166</v>
      </c>
      <c r="B25" s="15">
        <v>750</v>
      </c>
      <c r="C25" s="15"/>
      <c r="D25" s="15"/>
    </row>
    <row r="26" spans="1:4" x14ac:dyDescent="0.3">
      <c r="A26" s="15" t="s">
        <v>25</v>
      </c>
      <c r="B26" s="15"/>
      <c r="C26" s="15"/>
      <c r="D26" s="15"/>
    </row>
    <row r="27" spans="1:4" x14ac:dyDescent="0.3">
      <c r="A27" s="15" t="s">
        <v>167</v>
      </c>
      <c r="B27" s="15">
        <v>2250</v>
      </c>
      <c r="C27" s="15"/>
      <c r="D27" s="15"/>
    </row>
    <row r="28" spans="1:4" x14ac:dyDescent="0.3">
      <c r="A28" s="15" t="s">
        <v>32</v>
      </c>
      <c r="B28" s="15"/>
      <c r="C28" s="15"/>
      <c r="D28" s="15"/>
    </row>
    <row r="29" spans="1:4" x14ac:dyDescent="0.3">
      <c r="A29" s="15" t="s">
        <v>111</v>
      </c>
      <c r="B29" s="15">
        <v>3500</v>
      </c>
      <c r="C29" s="15"/>
      <c r="D29" s="15"/>
    </row>
    <row r="30" spans="1:4" x14ac:dyDescent="0.3">
      <c r="A30" s="15" t="s">
        <v>168</v>
      </c>
      <c r="B30" s="15">
        <v>250</v>
      </c>
      <c r="C30" s="15"/>
      <c r="D30" s="15"/>
    </row>
    <row r="31" spans="1:4" x14ac:dyDescent="0.3">
      <c r="A31" s="15" t="s">
        <v>169</v>
      </c>
      <c r="B31" s="15">
        <v>3600</v>
      </c>
      <c r="C31" s="15"/>
      <c r="D31" s="15"/>
    </row>
    <row r="32" spans="1:4" x14ac:dyDescent="0.3">
      <c r="D32" s="15"/>
    </row>
    <row r="33" spans="1:4" x14ac:dyDescent="0.3">
      <c r="C33" s="15"/>
      <c r="D33" s="15"/>
    </row>
    <row r="34" spans="1:4" x14ac:dyDescent="0.3">
      <c r="D34" s="15"/>
    </row>
    <row r="35" spans="1:4" x14ac:dyDescent="0.3">
      <c r="A35" s="15"/>
      <c r="B35" s="15"/>
      <c r="C35" s="15"/>
      <c r="D35" s="15"/>
    </row>
    <row r="36" spans="1:4" x14ac:dyDescent="0.3">
      <c r="D36" s="15"/>
    </row>
    <row r="37" spans="1:4" x14ac:dyDescent="0.3">
      <c r="D37" s="15"/>
    </row>
    <row r="38" spans="1:4" x14ac:dyDescent="0.3">
      <c r="A38" s="15"/>
      <c r="B38" s="15"/>
      <c r="C38" s="15"/>
    </row>
    <row r="39" spans="1:4" x14ac:dyDescent="0.3">
      <c r="A39" s="15"/>
      <c r="B39" s="15"/>
      <c r="C39" s="15"/>
    </row>
    <row r="40" spans="1:4" x14ac:dyDescent="0.3">
      <c r="A40" s="15"/>
      <c r="B40" s="15"/>
      <c r="C40" s="15"/>
    </row>
    <row r="41" spans="1:4" x14ac:dyDescent="0.3">
      <c r="A41" s="15"/>
      <c r="B41" s="15"/>
      <c r="C41" s="15"/>
    </row>
    <row r="42" spans="1:4" x14ac:dyDescent="0.3">
      <c r="A42" s="15"/>
      <c r="B42" s="15"/>
      <c r="C42" s="15"/>
    </row>
    <row r="43" spans="1:4" x14ac:dyDescent="0.3">
      <c r="A43" s="15"/>
      <c r="B43" s="15"/>
      <c r="C43" s="15"/>
    </row>
    <row r="44" spans="1:4" x14ac:dyDescent="0.3">
      <c r="A44" s="15"/>
      <c r="B44" s="15"/>
      <c r="C44" s="15"/>
    </row>
    <row r="45" spans="1:4" x14ac:dyDescent="0.3">
      <c r="A45" s="15"/>
      <c r="B45" s="15"/>
      <c r="C45" s="15"/>
    </row>
    <row r="46" spans="1:4" x14ac:dyDescent="0.3">
      <c r="A46" s="15"/>
      <c r="B46" s="15"/>
      <c r="C46" s="15"/>
    </row>
    <row r="47" spans="1:4" x14ac:dyDescent="0.3">
      <c r="A47" s="15"/>
      <c r="B47" s="15"/>
      <c r="C47" s="15"/>
    </row>
    <row r="48" spans="1:4" x14ac:dyDescent="0.3">
      <c r="A48" s="15"/>
      <c r="B48" s="15"/>
      <c r="C48" s="15"/>
    </row>
    <row r="49" spans="1:3" x14ac:dyDescent="0.3">
      <c r="A49" s="15"/>
      <c r="B49" s="15"/>
      <c r="C49" s="15"/>
    </row>
    <row r="50" spans="1:3" x14ac:dyDescent="0.3">
      <c r="A50" s="15"/>
      <c r="B50" s="15"/>
      <c r="C50" s="1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F12" sqref="F12:F13"/>
    </sheetView>
  </sheetViews>
  <sheetFormatPr defaultRowHeight="14.4" x14ac:dyDescent="0.3"/>
  <cols>
    <col min="1" max="1" width="34.33203125" bestFit="1" customWidth="1"/>
    <col min="2" max="2" width="11.44140625" bestFit="1" customWidth="1"/>
    <col min="3" max="3" width="23.88671875" bestFit="1" customWidth="1"/>
  </cols>
  <sheetData>
    <row r="1" spans="1:3" x14ac:dyDescent="0.3">
      <c r="A1" s="1" t="s">
        <v>177</v>
      </c>
    </row>
    <row r="2" spans="1:3" ht="15" thickBot="1" x14ac:dyDescent="0.35">
      <c r="A2" t="s">
        <v>178</v>
      </c>
    </row>
    <row r="3" spans="1:3" ht="15" thickBot="1" x14ac:dyDescent="0.35">
      <c r="A3" s="120" t="s">
        <v>136</v>
      </c>
      <c r="B3" s="122">
        <f>B4</f>
        <v>25460</v>
      </c>
    </row>
    <row r="4" spans="1:3" ht="15" thickBot="1" x14ac:dyDescent="0.35">
      <c r="A4" s="2" t="s">
        <v>171</v>
      </c>
      <c r="B4" s="17">
        <f>SUM(B5:B8)</f>
        <v>25460</v>
      </c>
    </row>
    <row r="5" spans="1:3" x14ac:dyDescent="0.3">
      <c r="A5" s="18" t="s">
        <v>172</v>
      </c>
      <c r="B5" s="8">
        <v>10000</v>
      </c>
    </row>
    <row r="6" spans="1:3" x14ac:dyDescent="0.3">
      <c r="A6" s="18" t="s">
        <v>173</v>
      </c>
      <c r="B6" s="9">
        <v>12000</v>
      </c>
      <c r="C6" t="s">
        <v>466</v>
      </c>
    </row>
    <row r="7" spans="1:3" x14ac:dyDescent="0.3">
      <c r="A7" s="3" t="s">
        <v>455</v>
      </c>
      <c r="B7" s="9">
        <f>3*820</f>
        <v>2460</v>
      </c>
    </row>
    <row r="8" spans="1:3" ht="15" thickBot="1" x14ac:dyDescent="0.35">
      <c r="A8" s="24" t="s">
        <v>126</v>
      </c>
      <c r="B8" s="10">
        <v>1000</v>
      </c>
    </row>
    <row r="9" spans="1:3" x14ac:dyDescent="0.3">
      <c r="A9" s="18"/>
      <c r="B9" s="44"/>
    </row>
    <row r="10" spans="1:3" x14ac:dyDescent="0.3">
      <c r="A10" s="1" t="s">
        <v>8</v>
      </c>
      <c r="B10" s="18"/>
    </row>
    <row r="11" spans="1:3" x14ac:dyDescent="0.3">
      <c r="A11" s="18" t="s">
        <v>9</v>
      </c>
      <c r="B11" s="18"/>
    </row>
    <row r="12" spans="1:3" x14ac:dyDescent="0.3">
      <c r="A12" s="18" t="s">
        <v>174</v>
      </c>
      <c r="B12" s="18"/>
    </row>
    <row r="13" spans="1:3" x14ac:dyDescent="0.3">
      <c r="A13" s="18" t="s">
        <v>18</v>
      </c>
      <c r="B13" s="18"/>
    </row>
    <row r="14" spans="1:3" x14ac:dyDescent="0.3">
      <c r="A14" s="26" t="s">
        <v>175</v>
      </c>
      <c r="B14" s="18"/>
    </row>
    <row r="15" spans="1:3" x14ac:dyDescent="0.3">
      <c r="A15" s="28" t="s">
        <v>176</v>
      </c>
      <c r="B15" s="18"/>
    </row>
    <row r="16" spans="1:3" x14ac:dyDescent="0.3">
      <c r="A16" s="45" t="s">
        <v>23</v>
      </c>
      <c r="B16" s="26"/>
    </row>
    <row r="17" spans="1:2" x14ac:dyDescent="0.3">
      <c r="A17" s="45" t="s">
        <v>456</v>
      </c>
      <c r="B17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G27" sqref="G27"/>
    </sheetView>
  </sheetViews>
  <sheetFormatPr defaultRowHeight="14.4" x14ac:dyDescent="0.3"/>
  <cols>
    <col min="1" max="1" width="42" bestFit="1" customWidth="1"/>
    <col min="2" max="2" width="20.88671875" bestFit="1" customWidth="1"/>
  </cols>
  <sheetData>
    <row r="1" spans="1:9" x14ac:dyDescent="0.3">
      <c r="A1" s="1" t="s">
        <v>179</v>
      </c>
      <c r="B1" s="18"/>
      <c r="C1" s="18"/>
      <c r="D1" s="18"/>
      <c r="E1" s="18"/>
      <c r="F1" s="18"/>
      <c r="G1" s="18"/>
      <c r="H1" s="18"/>
      <c r="I1" s="18"/>
    </row>
    <row r="2" spans="1:9" ht="15" thickBot="1" x14ac:dyDescent="0.35">
      <c r="A2" s="18" t="s">
        <v>180</v>
      </c>
      <c r="B2" s="18"/>
      <c r="C2" s="18"/>
      <c r="D2" s="18"/>
      <c r="E2" s="18"/>
      <c r="F2" s="18"/>
      <c r="G2" s="18"/>
      <c r="H2" s="18"/>
      <c r="I2" s="18"/>
    </row>
    <row r="3" spans="1:9" ht="15" thickBot="1" x14ac:dyDescent="0.35">
      <c r="A3" s="120" t="s">
        <v>136</v>
      </c>
      <c r="B3" s="122">
        <f>B4</f>
        <v>19023.330000000002</v>
      </c>
      <c r="C3" s="18"/>
      <c r="D3" s="18"/>
      <c r="E3" s="18"/>
      <c r="F3" s="18"/>
      <c r="G3" s="18"/>
      <c r="H3" s="18"/>
      <c r="I3" s="18"/>
    </row>
    <row r="4" spans="1:9" ht="15" thickBot="1" x14ac:dyDescent="0.35">
      <c r="A4" s="1" t="s">
        <v>2</v>
      </c>
      <c r="B4" s="11">
        <f>SUM(B5:B10)</f>
        <v>19023.330000000002</v>
      </c>
      <c r="C4" s="18"/>
      <c r="D4" s="18"/>
      <c r="E4" s="18"/>
      <c r="F4" s="18"/>
      <c r="G4" s="18"/>
      <c r="H4" s="18"/>
      <c r="I4" s="18"/>
    </row>
    <row r="5" spans="1:9" x14ac:dyDescent="0.3">
      <c r="A5" s="18" t="s">
        <v>445</v>
      </c>
      <c r="B5" s="8">
        <v>5000</v>
      </c>
      <c r="C5" s="18"/>
      <c r="D5" s="18"/>
      <c r="E5" s="18"/>
      <c r="F5" s="18"/>
      <c r="G5" s="18"/>
      <c r="H5" s="18"/>
      <c r="I5" s="18"/>
    </row>
    <row r="6" spans="1:9" x14ac:dyDescent="0.3">
      <c r="A6" s="18" t="s">
        <v>446</v>
      </c>
      <c r="B6" s="9">
        <f>1600+750</f>
        <v>2350</v>
      </c>
      <c r="C6" s="18"/>
      <c r="D6" s="18"/>
      <c r="E6" s="18"/>
      <c r="F6" s="18"/>
      <c r="G6" s="18"/>
      <c r="H6" s="18"/>
      <c r="I6" s="18"/>
    </row>
    <row r="7" spans="1:9" x14ac:dyDescent="0.3">
      <c r="A7" s="18" t="s">
        <v>447</v>
      </c>
      <c r="B7" s="9">
        <f>500+(20*4.5)</f>
        <v>590</v>
      </c>
      <c r="C7" s="18"/>
      <c r="D7" s="18"/>
      <c r="E7" s="18"/>
      <c r="F7" s="18"/>
      <c r="G7" s="18"/>
      <c r="H7" s="18"/>
      <c r="I7" s="18"/>
    </row>
    <row r="8" spans="1:9" x14ac:dyDescent="0.3">
      <c r="A8" s="18" t="s">
        <v>448</v>
      </c>
      <c r="B8" s="9">
        <f>250+400</f>
        <v>650</v>
      </c>
      <c r="C8" s="18"/>
      <c r="D8" s="18"/>
      <c r="E8" s="18"/>
      <c r="F8" s="18"/>
      <c r="G8" s="18"/>
      <c r="H8" s="18"/>
      <c r="I8" s="18"/>
    </row>
    <row r="9" spans="1:9" x14ac:dyDescent="0.3">
      <c r="A9" s="18" t="s">
        <v>181</v>
      </c>
      <c r="B9" s="9">
        <f>2333.33+5000+2100</f>
        <v>9433.33</v>
      </c>
      <c r="C9" s="18"/>
      <c r="D9" s="18"/>
      <c r="E9" s="18"/>
      <c r="F9" s="18"/>
      <c r="G9" s="18"/>
      <c r="H9" s="18"/>
      <c r="I9" s="18"/>
    </row>
    <row r="10" spans="1:9" ht="15" thickBot="1" x14ac:dyDescent="0.35">
      <c r="A10" s="18" t="s">
        <v>126</v>
      </c>
      <c r="B10" s="10">
        <v>1000</v>
      </c>
      <c r="C10" s="18"/>
      <c r="D10" s="18"/>
      <c r="E10" s="18"/>
      <c r="F10" s="18"/>
      <c r="G10" s="18"/>
      <c r="H10" s="18"/>
      <c r="I10" s="18"/>
    </row>
    <row r="11" spans="1:9" x14ac:dyDescent="0.3">
      <c r="A11" s="18"/>
      <c r="B11" s="18"/>
      <c r="C11" s="18"/>
      <c r="D11" s="18"/>
      <c r="E11" s="18"/>
      <c r="F11" s="18"/>
      <c r="G11" s="18"/>
      <c r="H11" s="18"/>
      <c r="I11" s="18"/>
    </row>
    <row r="12" spans="1:9" x14ac:dyDescent="0.3">
      <c r="A12" s="18"/>
      <c r="B12" s="18"/>
      <c r="C12" s="18"/>
      <c r="D12" s="18"/>
      <c r="E12" s="18"/>
      <c r="F12" s="18"/>
      <c r="G12" s="18"/>
      <c r="H12" s="18"/>
      <c r="I12" s="18"/>
    </row>
    <row r="13" spans="1:9" x14ac:dyDescent="0.3">
      <c r="A13" s="1" t="s">
        <v>8</v>
      </c>
      <c r="B13" s="18"/>
      <c r="C13" s="18"/>
      <c r="D13" s="18"/>
      <c r="E13" s="18"/>
      <c r="F13" s="18"/>
      <c r="G13" s="18"/>
      <c r="H13" s="18"/>
      <c r="I13" s="18"/>
    </row>
    <row r="14" spans="1:9" x14ac:dyDescent="0.3">
      <c r="A14" s="18" t="s">
        <v>9</v>
      </c>
      <c r="B14" s="18"/>
      <c r="C14" s="18"/>
      <c r="D14" s="18"/>
      <c r="E14" s="18"/>
      <c r="F14" s="18"/>
      <c r="G14" s="18"/>
      <c r="H14" s="18"/>
      <c r="I14" s="18"/>
    </row>
    <row r="15" spans="1:9" x14ac:dyDescent="0.3">
      <c r="A15" s="18" t="s">
        <v>111</v>
      </c>
      <c r="B15" s="18" t="s">
        <v>182</v>
      </c>
      <c r="C15" s="18"/>
      <c r="D15" s="18"/>
      <c r="E15" s="18"/>
      <c r="F15" s="18"/>
      <c r="G15" s="18"/>
      <c r="H15" s="18"/>
      <c r="I15" s="18"/>
    </row>
    <row r="16" spans="1:9" x14ac:dyDescent="0.3">
      <c r="A16" s="18" t="s">
        <v>183</v>
      </c>
      <c r="B16" s="18" t="s">
        <v>184</v>
      </c>
      <c r="C16" s="18"/>
      <c r="D16" s="18"/>
      <c r="E16" s="18"/>
      <c r="F16" s="18"/>
      <c r="G16" s="18"/>
      <c r="H16" s="18"/>
      <c r="I16" s="18"/>
    </row>
    <row r="17" spans="1:9" x14ac:dyDescent="0.3">
      <c r="A17" s="18" t="s">
        <v>185</v>
      </c>
      <c r="B17" s="18" t="s">
        <v>186</v>
      </c>
      <c r="C17" s="18"/>
      <c r="D17" s="18"/>
      <c r="E17" s="18"/>
      <c r="F17" s="18"/>
      <c r="G17" s="18"/>
      <c r="H17" s="18"/>
      <c r="I17" s="18"/>
    </row>
    <row r="18" spans="1:9" x14ac:dyDescent="0.3">
      <c r="A18" s="18"/>
      <c r="B18" s="18"/>
      <c r="C18" s="18"/>
      <c r="D18" s="18"/>
      <c r="E18" s="18"/>
      <c r="F18" s="18"/>
      <c r="G18" s="18"/>
      <c r="H18" s="18"/>
      <c r="I18" s="18"/>
    </row>
    <row r="19" spans="1:9" x14ac:dyDescent="0.3">
      <c r="A19" s="18" t="s">
        <v>18</v>
      </c>
      <c r="B19" s="18"/>
      <c r="C19" s="18"/>
      <c r="D19" s="18"/>
      <c r="E19" s="18"/>
      <c r="F19" s="18"/>
      <c r="G19" s="18"/>
      <c r="H19" s="18"/>
      <c r="I19" s="18"/>
    </row>
    <row r="20" spans="1:9" x14ac:dyDescent="0.3">
      <c r="A20" s="18" t="s">
        <v>187</v>
      </c>
      <c r="B20" s="46">
        <v>1600</v>
      </c>
      <c r="C20" s="18"/>
      <c r="D20" s="18"/>
      <c r="E20" s="18"/>
      <c r="F20" s="18"/>
      <c r="G20" s="18"/>
      <c r="H20" s="18"/>
      <c r="I20" s="18"/>
    </row>
    <row r="21" spans="1:9" x14ac:dyDescent="0.3">
      <c r="A21" s="18" t="s">
        <v>188</v>
      </c>
      <c r="B21" s="18" t="s">
        <v>189</v>
      </c>
      <c r="C21" s="18"/>
      <c r="D21" s="18"/>
      <c r="E21" s="18"/>
      <c r="F21" s="18"/>
      <c r="G21" s="18"/>
      <c r="H21" s="18"/>
      <c r="I21" s="18"/>
    </row>
    <row r="22" spans="1:9" x14ac:dyDescent="0.3">
      <c r="A22" s="18"/>
      <c r="B22" s="18"/>
      <c r="C22" s="18"/>
      <c r="D22" s="18"/>
      <c r="E22" s="18"/>
      <c r="F22" s="18"/>
      <c r="G22" s="18"/>
      <c r="H22" s="18"/>
      <c r="I22" s="18"/>
    </row>
    <row r="23" spans="1:9" x14ac:dyDescent="0.3">
      <c r="A23" s="18" t="s">
        <v>23</v>
      </c>
      <c r="B23" s="18"/>
      <c r="C23" s="18"/>
      <c r="D23" s="18"/>
      <c r="E23" s="18"/>
      <c r="F23" s="18"/>
      <c r="G23" s="18"/>
      <c r="H23" s="18"/>
      <c r="I23" s="18"/>
    </row>
    <row r="24" spans="1:9" x14ac:dyDescent="0.3">
      <c r="A24" s="18" t="s">
        <v>190</v>
      </c>
      <c r="B24" s="46">
        <v>500</v>
      </c>
      <c r="C24" s="18"/>
      <c r="D24" s="18"/>
      <c r="E24" s="18"/>
      <c r="F24" s="18"/>
      <c r="G24" s="18"/>
      <c r="H24" s="18"/>
      <c r="I24" s="18"/>
    </row>
    <row r="25" spans="1:9" x14ac:dyDescent="0.3">
      <c r="A25" s="18" t="s">
        <v>191</v>
      </c>
      <c r="B25" s="18" t="s">
        <v>192</v>
      </c>
      <c r="C25" s="18"/>
      <c r="D25" s="18"/>
      <c r="E25" s="18"/>
      <c r="F25" s="18"/>
      <c r="G25" s="18"/>
      <c r="H25" s="18"/>
      <c r="I25" s="18"/>
    </row>
    <row r="26" spans="1:9" x14ac:dyDescent="0.3">
      <c r="A26" s="18"/>
      <c r="B26" s="18"/>
      <c r="C26" s="18"/>
      <c r="D26" s="18"/>
      <c r="E26" s="18"/>
      <c r="F26" s="18"/>
      <c r="G26" s="18"/>
      <c r="H26" s="18"/>
      <c r="I26" s="18"/>
    </row>
    <row r="27" spans="1:9" x14ac:dyDescent="0.3">
      <c r="A27" s="18" t="s">
        <v>25</v>
      </c>
      <c r="B27" s="18"/>
      <c r="C27" s="18"/>
      <c r="D27" s="18"/>
      <c r="E27" s="18"/>
      <c r="F27" s="18"/>
      <c r="G27" s="18"/>
      <c r="H27" s="18"/>
      <c r="I27" s="18"/>
    </row>
    <row r="28" spans="1:9" x14ac:dyDescent="0.3">
      <c r="A28" s="18" t="s">
        <v>168</v>
      </c>
      <c r="B28" s="18">
        <v>250</v>
      </c>
      <c r="C28" s="18"/>
      <c r="D28" s="18"/>
      <c r="E28" s="18"/>
      <c r="F28" s="18"/>
      <c r="G28" s="18"/>
      <c r="H28" s="18"/>
      <c r="I28" s="18"/>
    </row>
    <row r="29" spans="1:9" x14ac:dyDescent="0.3">
      <c r="A29" s="18" t="s">
        <v>193</v>
      </c>
      <c r="B29" s="18">
        <v>400</v>
      </c>
      <c r="C29" s="18"/>
      <c r="D29" s="18"/>
      <c r="E29" s="18"/>
      <c r="F29" s="18"/>
      <c r="G29" s="18"/>
      <c r="H29" s="18"/>
      <c r="I29" s="18"/>
    </row>
    <row r="30" spans="1:9" x14ac:dyDescent="0.3">
      <c r="A30" s="18" t="s">
        <v>194</v>
      </c>
      <c r="B30" s="18"/>
      <c r="C30" s="18"/>
      <c r="D30" s="18"/>
      <c r="E30" s="18"/>
      <c r="F30" s="18"/>
      <c r="G30" s="18"/>
      <c r="H30" s="18"/>
      <c r="I30" s="18"/>
    </row>
    <row r="31" spans="1:9" x14ac:dyDescent="0.3">
      <c r="A31" s="18"/>
      <c r="B31" s="18"/>
      <c r="C31" s="18"/>
      <c r="D31" s="18"/>
      <c r="E31" s="18"/>
      <c r="F31" s="18"/>
      <c r="G31" s="18"/>
      <c r="H31" s="18"/>
      <c r="I31" s="18"/>
    </row>
    <row r="32" spans="1:9" x14ac:dyDescent="0.3">
      <c r="A32" s="18" t="s">
        <v>32</v>
      </c>
      <c r="B32" s="18"/>
      <c r="C32" s="18"/>
      <c r="D32" s="18"/>
      <c r="E32" s="18"/>
      <c r="F32" s="18"/>
      <c r="G32" s="18"/>
      <c r="H32" s="18"/>
      <c r="I32" s="18"/>
    </row>
    <row r="33" spans="1:9" x14ac:dyDescent="0.3">
      <c r="A33" s="18" t="s">
        <v>111</v>
      </c>
      <c r="B33" s="18" t="s">
        <v>195</v>
      </c>
      <c r="C33" s="18" t="s">
        <v>196</v>
      </c>
      <c r="D33" s="18"/>
      <c r="E33" s="18"/>
      <c r="F33" s="18"/>
      <c r="G33" s="18"/>
      <c r="H33" s="18"/>
      <c r="I33" s="18"/>
    </row>
    <row r="34" spans="1:9" x14ac:dyDescent="0.3">
      <c r="A34" s="18" t="s">
        <v>197</v>
      </c>
      <c r="B34" s="18"/>
      <c r="C34" s="18"/>
      <c r="D34" s="18"/>
      <c r="E34" s="18"/>
      <c r="F34" s="18"/>
      <c r="G34" s="18"/>
      <c r="H34" s="18"/>
      <c r="I34" s="18"/>
    </row>
    <row r="35" spans="1:9" x14ac:dyDescent="0.3">
      <c r="A35" s="18" t="s">
        <v>198</v>
      </c>
      <c r="B35" s="18" t="s">
        <v>199</v>
      </c>
      <c r="C35" s="18"/>
      <c r="D35" s="18"/>
      <c r="E35" s="18"/>
      <c r="F35" s="18"/>
      <c r="G35" s="18"/>
      <c r="H35" s="18"/>
      <c r="I35" s="18"/>
    </row>
    <row r="36" spans="1:9" x14ac:dyDescent="0.3">
      <c r="A36" s="18" t="s">
        <v>200</v>
      </c>
      <c r="B36" s="18" t="s">
        <v>201</v>
      </c>
      <c r="C36" s="18"/>
      <c r="D36" s="18"/>
      <c r="E36" s="18"/>
      <c r="F36" s="18"/>
      <c r="G36" s="18"/>
      <c r="H36" s="18"/>
      <c r="I36" s="1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workbookViewId="0">
      <selection activeCell="F8" sqref="F8"/>
    </sheetView>
  </sheetViews>
  <sheetFormatPr defaultRowHeight="14.4" x14ac:dyDescent="0.3"/>
  <cols>
    <col min="1" max="1" width="85" bestFit="1" customWidth="1"/>
    <col min="2" max="3" width="11.44140625" bestFit="1" customWidth="1"/>
  </cols>
  <sheetData>
    <row r="1" spans="1:21" x14ac:dyDescent="0.3">
      <c r="A1" s="2" t="s">
        <v>202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15" thickBot="1" x14ac:dyDescent="0.35">
      <c r="A2" s="26" t="s">
        <v>209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15" thickBot="1" x14ac:dyDescent="0.35">
      <c r="A3" s="124" t="s">
        <v>136</v>
      </c>
      <c r="B3" s="122">
        <f>B6</f>
        <v>59000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x14ac:dyDescent="0.3">
      <c r="A4" s="2" t="s">
        <v>203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x14ac:dyDescent="0.3">
      <c r="A5" s="26" t="s">
        <v>210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5" thickBot="1" x14ac:dyDescent="0.35">
      <c r="A6" s="26"/>
      <c r="B6" s="67">
        <f>SUM(B7:B11)</f>
        <v>59000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x14ac:dyDescent="0.3">
      <c r="A7" s="29" t="s">
        <v>204</v>
      </c>
      <c r="B7" s="119">
        <v>33000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x14ac:dyDescent="0.3">
      <c r="A8" s="26" t="s">
        <v>205</v>
      </c>
      <c r="B8" s="62">
        <v>10000</v>
      </c>
      <c r="C8" s="123"/>
      <c r="D8" s="24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x14ac:dyDescent="0.3">
      <c r="A9" s="24" t="s">
        <v>206</v>
      </c>
      <c r="B9" s="62">
        <v>10000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1:21" x14ac:dyDescent="0.3">
      <c r="A10" s="26" t="s">
        <v>207</v>
      </c>
      <c r="B10" s="62">
        <v>1000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ht="15" thickBot="1" x14ac:dyDescent="0.35">
      <c r="A11" s="24" t="s">
        <v>219</v>
      </c>
      <c r="B11" s="108">
        <v>5000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 x14ac:dyDescent="0.3">
      <c r="A12" s="24" t="s">
        <v>208</v>
      </c>
      <c r="B12" s="26"/>
      <c r="D12" s="24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 x14ac:dyDescent="0.3">
      <c r="B13" s="24"/>
      <c r="D13" s="24"/>
      <c r="E13" s="24"/>
      <c r="F13" s="24"/>
      <c r="G13" s="24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 x14ac:dyDescent="0.3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 x14ac:dyDescent="0.3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 x14ac:dyDescent="0.3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 x14ac:dyDescent="0.3">
      <c r="A17" s="24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F17" sqref="F17:F18"/>
    </sheetView>
  </sheetViews>
  <sheetFormatPr defaultRowHeight="14.4" x14ac:dyDescent="0.3"/>
  <cols>
    <col min="1" max="1" width="24.109375" bestFit="1" customWidth="1"/>
    <col min="2" max="2" width="11.44140625" bestFit="1" customWidth="1"/>
  </cols>
  <sheetData>
    <row r="1" spans="1:2" x14ac:dyDescent="0.3">
      <c r="A1" s="1" t="s">
        <v>211</v>
      </c>
    </row>
    <row r="2" spans="1:2" ht="15" thickBot="1" x14ac:dyDescent="0.35">
      <c r="A2" t="s">
        <v>212</v>
      </c>
    </row>
    <row r="3" spans="1:2" ht="15" thickBot="1" x14ac:dyDescent="0.35">
      <c r="A3" s="120" t="s">
        <v>136</v>
      </c>
      <c r="B3" s="122">
        <f>B4</f>
        <v>10650</v>
      </c>
    </row>
    <row r="4" spans="1:2" ht="15" thickBot="1" x14ac:dyDescent="0.35">
      <c r="A4" s="1" t="s">
        <v>2</v>
      </c>
      <c r="B4" s="11">
        <f>SUM(B5:B7)</f>
        <v>10650</v>
      </c>
    </row>
    <row r="5" spans="1:2" x14ac:dyDescent="0.3">
      <c r="A5" s="18" t="s">
        <v>5</v>
      </c>
      <c r="B5" s="8">
        <v>1000</v>
      </c>
    </row>
    <row r="6" spans="1:2" x14ac:dyDescent="0.3">
      <c r="A6" s="18" t="s">
        <v>213</v>
      </c>
      <c r="B6" s="9">
        <f>250+(200*4.5)+3500</f>
        <v>4650</v>
      </c>
    </row>
    <row r="7" spans="1:2" ht="15" thickBot="1" x14ac:dyDescent="0.35">
      <c r="A7" s="18" t="s">
        <v>214</v>
      </c>
      <c r="B7" s="10">
        <v>5000</v>
      </c>
    </row>
    <row r="9" spans="1:2" x14ac:dyDescent="0.3">
      <c r="A9" s="1" t="s">
        <v>8</v>
      </c>
      <c r="B9" s="18"/>
    </row>
    <row r="10" spans="1:2" x14ac:dyDescent="0.3">
      <c r="A10" s="18" t="s">
        <v>9</v>
      </c>
      <c r="B10" s="18"/>
    </row>
    <row r="11" spans="1:2" x14ac:dyDescent="0.3">
      <c r="A11" s="18" t="s">
        <v>111</v>
      </c>
      <c r="B11" s="18">
        <v>3500</v>
      </c>
    </row>
    <row r="12" spans="1:2" x14ac:dyDescent="0.3">
      <c r="A12" s="18" t="s">
        <v>215</v>
      </c>
      <c r="B12" s="18" t="s">
        <v>216</v>
      </c>
    </row>
    <row r="13" spans="1:2" x14ac:dyDescent="0.3">
      <c r="A13" s="18" t="s">
        <v>217</v>
      </c>
      <c r="B13" s="18">
        <v>250</v>
      </c>
    </row>
    <row r="14" spans="1:2" x14ac:dyDescent="0.3">
      <c r="A14" s="18" t="s">
        <v>18</v>
      </c>
      <c r="B14" s="18"/>
    </row>
    <row r="15" spans="1:2" x14ac:dyDescent="0.3">
      <c r="A15" s="18" t="s">
        <v>111</v>
      </c>
      <c r="B15" s="18">
        <v>3500</v>
      </c>
    </row>
    <row r="16" spans="1:2" x14ac:dyDescent="0.3">
      <c r="A16" s="18" t="s">
        <v>218</v>
      </c>
      <c r="B16" s="18">
        <v>1500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>
      <selection activeCell="K26" sqref="K26"/>
    </sheetView>
  </sheetViews>
  <sheetFormatPr defaultRowHeight="14.4" x14ac:dyDescent="0.3"/>
  <cols>
    <col min="1" max="1" width="28.109375" bestFit="1" customWidth="1"/>
    <col min="2" max="2" width="11.33203125" bestFit="1" customWidth="1"/>
  </cols>
  <sheetData>
    <row r="1" spans="1:4" x14ac:dyDescent="0.3">
      <c r="A1" s="1" t="s">
        <v>220</v>
      </c>
      <c r="B1" s="18"/>
    </row>
    <row r="2" spans="1:4" ht="15" thickBot="1" x14ac:dyDescent="0.35">
      <c r="A2" s="18" t="s">
        <v>221</v>
      </c>
      <c r="B2" s="18"/>
    </row>
    <row r="3" spans="1:4" ht="15" thickBot="1" x14ac:dyDescent="0.35">
      <c r="A3" s="120" t="s">
        <v>136</v>
      </c>
      <c r="B3" s="122">
        <f>B4</f>
        <v>45427</v>
      </c>
    </row>
    <row r="4" spans="1:4" ht="15" thickBot="1" x14ac:dyDescent="0.35">
      <c r="A4" s="1" t="s">
        <v>2</v>
      </c>
      <c r="B4" s="11">
        <f>SUM(B5:B11)</f>
        <v>45427</v>
      </c>
    </row>
    <row r="5" spans="1:4" x14ac:dyDescent="0.3">
      <c r="A5" s="18" t="s">
        <v>222</v>
      </c>
      <c r="B5" s="8">
        <v>27380</v>
      </c>
    </row>
    <row r="6" spans="1:4" x14ac:dyDescent="0.3">
      <c r="A6" s="18" t="s">
        <v>223</v>
      </c>
      <c r="B6" s="9">
        <f>250+(300*4.5)</f>
        <v>1600</v>
      </c>
    </row>
    <row r="7" spans="1:4" x14ac:dyDescent="0.3">
      <c r="A7" s="18" t="s">
        <v>224</v>
      </c>
      <c r="B7" s="9">
        <f>500*9</f>
        <v>4500</v>
      </c>
    </row>
    <row r="8" spans="1:4" x14ac:dyDescent="0.3">
      <c r="A8" s="18" t="s">
        <v>225</v>
      </c>
      <c r="B8" s="9">
        <v>9247</v>
      </c>
    </row>
    <row r="9" spans="1:4" x14ac:dyDescent="0.3">
      <c r="A9" s="18" t="s">
        <v>226</v>
      </c>
      <c r="B9" s="9">
        <f>500+900</f>
        <v>1400</v>
      </c>
    </row>
    <row r="10" spans="1:4" x14ac:dyDescent="0.3">
      <c r="A10" s="18" t="s">
        <v>5</v>
      </c>
      <c r="B10" s="9">
        <v>1000</v>
      </c>
    </row>
    <row r="11" spans="1:4" ht="15" thickBot="1" x14ac:dyDescent="0.35">
      <c r="A11" s="18" t="s">
        <v>227</v>
      </c>
      <c r="B11" s="10">
        <v>300</v>
      </c>
    </row>
    <row r="13" spans="1:4" x14ac:dyDescent="0.3">
      <c r="A13" s="1" t="s">
        <v>8</v>
      </c>
      <c r="B13" s="18"/>
      <c r="C13" s="18"/>
      <c r="D13" s="18"/>
    </row>
    <row r="14" spans="1:4" x14ac:dyDescent="0.3">
      <c r="A14" s="18" t="s">
        <v>9</v>
      </c>
      <c r="B14" s="18"/>
      <c r="C14" s="18"/>
      <c r="D14" s="18"/>
    </row>
    <row r="15" spans="1:4" x14ac:dyDescent="0.3">
      <c r="A15" s="18" t="s">
        <v>168</v>
      </c>
      <c r="B15" s="18">
        <v>250</v>
      </c>
      <c r="C15" s="18"/>
      <c r="D15" s="18"/>
    </row>
    <row r="16" spans="1:4" x14ac:dyDescent="0.3">
      <c r="A16" s="18" t="s">
        <v>228</v>
      </c>
      <c r="B16" s="18">
        <v>3500</v>
      </c>
      <c r="C16" s="18"/>
      <c r="D16" s="18"/>
    </row>
    <row r="17" spans="1:4" ht="15" thickBot="1" x14ac:dyDescent="0.35">
      <c r="A17" s="1" t="s">
        <v>229</v>
      </c>
      <c r="B17" s="18"/>
      <c r="C17" s="18"/>
      <c r="D17" s="18"/>
    </row>
    <row r="18" spans="1:4" x14ac:dyDescent="0.3">
      <c r="A18" s="18" t="s">
        <v>230</v>
      </c>
      <c r="B18" s="4">
        <v>21000</v>
      </c>
      <c r="C18" s="18"/>
      <c r="D18" s="18"/>
    </row>
    <row r="19" spans="1:4" x14ac:dyDescent="0.3">
      <c r="A19" s="18" t="s">
        <v>231</v>
      </c>
      <c r="B19" s="5">
        <v>390</v>
      </c>
      <c r="C19" s="18"/>
      <c r="D19" s="18"/>
    </row>
    <row r="20" spans="1:4" x14ac:dyDescent="0.3">
      <c r="A20" s="18" t="s">
        <v>232</v>
      </c>
      <c r="B20" s="5" t="s">
        <v>233</v>
      </c>
      <c r="C20" s="18"/>
      <c r="D20" s="18"/>
    </row>
    <row r="21" spans="1:4" x14ac:dyDescent="0.3">
      <c r="A21" s="18" t="s">
        <v>234</v>
      </c>
      <c r="B21" s="5">
        <v>1250</v>
      </c>
      <c r="C21" s="18"/>
      <c r="D21" s="18"/>
    </row>
    <row r="22" spans="1:4" ht="15" thickBot="1" x14ac:dyDescent="0.35">
      <c r="A22" s="18" t="s">
        <v>235</v>
      </c>
      <c r="B22" s="6">
        <v>900</v>
      </c>
      <c r="C22" s="18"/>
      <c r="D22" s="18"/>
    </row>
    <row r="23" spans="1:4" x14ac:dyDescent="0.3">
      <c r="A23" s="18"/>
      <c r="B23" s="18"/>
      <c r="C23" s="18"/>
      <c r="D23" s="18"/>
    </row>
    <row r="24" spans="1:4" x14ac:dyDescent="0.3">
      <c r="A24" s="18" t="s">
        <v>18</v>
      </c>
      <c r="B24" s="18"/>
      <c r="C24" s="18"/>
      <c r="D24" s="18"/>
    </row>
    <row r="25" spans="1:4" x14ac:dyDescent="0.3">
      <c r="A25" s="18" t="s">
        <v>168</v>
      </c>
      <c r="B25" s="18">
        <v>250</v>
      </c>
      <c r="C25" s="18"/>
      <c r="D25" s="18"/>
    </row>
    <row r="26" spans="1:4" x14ac:dyDescent="0.3">
      <c r="A26" s="18" t="s">
        <v>236</v>
      </c>
      <c r="B26" s="18" t="s">
        <v>237</v>
      </c>
      <c r="C26" s="18"/>
      <c r="D26" s="18"/>
    </row>
    <row r="27" spans="1:4" x14ac:dyDescent="0.3">
      <c r="A27" s="18" t="s">
        <v>238</v>
      </c>
      <c r="B27" s="18" t="s">
        <v>239</v>
      </c>
      <c r="C27" s="18"/>
      <c r="D27" s="18"/>
    </row>
    <row r="28" spans="1:4" x14ac:dyDescent="0.3">
      <c r="A28" s="18"/>
      <c r="B28" s="18"/>
      <c r="C28" s="18"/>
      <c r="D28" s="18"/>
    </row>
    <row r="29" spans="1:4" x14ac:dyDescent="0.3">
      <c r="A29" s="18" t="s">
        <v>23</v>
      </c>
      <c r="B29" s="18"/>
      <c r="C29" s="18"/>
      <c r="D29" s="18"/>
    </row>
    <row r="30" spans="1:4" x14ac:dyDescent="0.3">
      <c r="A30" s="18" t="s">
        <v>240</v>
      </c>
      <c r="B30" s="18">
        <v>500</v>
      </c>
      <c r="C30" s="18"/>
      <c r="D30" s="18"/>
    </row>
    <row r="31" spans="1:4" x14ac:dyDescent="0.3">
      <c r="A31" s="18" t="s">
        <v>241</v>
      </c>
      <c r="B31" s="18">
        <v>3</v>
      </c>
      <c r="C31" s="18"/>
      <c r="D31" s="18"/>
    </row>
    <row r="32" spans="1:4" x14ac:dyDescent="0.3">
      <c r="A32" s="18" t="s">
        <v>242</v>
      </c>
      <c r="B32" s="18">
        <v>3</v>
      </c>
      <c r="C32" s="18" t="s">
        <v>243</v>
      </c>
      <c r="D32" s="18"/>
    </row>
    <row r="33" spans="1:4" x14ac:dyDescent="0.3">
      <c r="A33" s="18"/>
      <c r="B33" s="18"/>
      <c r="C33" s="18"/>
      <c r="D33" s="18"/>
    </row>
    <row r="34" spans="1:4" x14ac:dyDescent="0.3">
      <c r="A34" s="18" t="s">
        <v>25</v>
      </c>
      <c r="B34" s="18"/>
      <c r="C34" s="18"/>
      <c r="D34" s="18"/>
    </row>
    <row r="35" spans="1:4" ht="15" thickBot="1" x14ac:dyDescent="0.35">
      <c r="A35" s="1" t="s">
        <v>229</v>
      </c>
      <c r="B35" s="18"/>
      <c r="C35" s="18" t="s">
        <v>244</v>
      </c>
      <c r="D35" s="18"/>
    </row>
    <row r="36" spans="1:4" x14ac:dyDescent="0.3">
      <c r="A36" s="18" t="s">
        <v>245</v>
      </c>
      <c r="B36" s="4">
        <f>50*140</f>
        <v>7000</v>
      </c>
      <c r="C36" s="18" t="s">
        <v>246</v>
      </c>
      <c r="D36" s="18"/>
    </row>
    <row r="37" spans="1:4" x14ac:dyDescent="0.3">
      <c r="A37" s="18" t="s">
        <v>231</v>
      </c>
      <c r="B37" s="5">
        <v>267</v>
      </c>
      <c r="C37" s="18" t="s">
        <v>247</v>
      </c>
      <c r="D37" s="18"/>
    </row>
    <row r="38" spans="1:4" x14ac:dyDescent="0.3">
      <c r="A38" s="18" t="s">
        <v>232</v>
      </c>
      <c r="B38" s="5" t="s">
        <v>248</v>
      </c>
      <c r="C38" s="18"/>
      <c r="D38" s="18"/>
    </row>
    <row r="39" spans="1:4" x14ac:dyDescent="0.3">
      <c r="A39" s="18" t="s">
        <v>234</v>
      </c>
      <c r="B39" s="5" t="s">
        <v>249</v>
      </c>
      <c r="C39" s="18"/>
      <c r="D39" s="18"/>
    </row>
    <row r="40" spans="1:4" ht="15" thickBot="1" x14ac:dyDescent="0.35">
      <c r="A40" s="18" t="s">
        <v>235</v>
      </c>
      <c r="B40" s="6">
        <v>1800</v>
      </c>
      <c r="C40" s="18" t="s">
        <v>250</v>
      </c>
      <c r="D40" s="18"/>
    </row>
    <row r="41" spans="1:4" x14ac:dyDescent="0.3">
      <c r="A41" s="18"/>
      <c r="B41" s="18"/>
      <c r="C41" s="18"/>
      <c r="D41" s="18"/>
    </row>
    <row r="42" spans="1:4" x14ac:dyDescent="0.3">
      <c r="A42" s="18" t="s">
        <v>251</v>
      </c>
      <c r="B42" s="18"/>
      <c r="C42" s="18"/>
      <c r="D42" s="18"/>
    </row>
    <row r="43" spans="1:4" x14ac:dyDescent="0.3">
      <c r="A43" s="18" t="s">
        <v>111</v>
      </c>
      <c r="B43" s="18" t="s">
        <v>252</v>
      </c>
      <c r="C43" s="18"/>
      <c r="D43" s="18"/>
    </row>
    <row r="44" spans="1:4" x14ac:dyDescent="0.3">
      <c r="A44" s="18" t="s">
        <v>253</v>
      </c>
      <c r="B44" s="18" t="s">
        <v>254</v>
      </c>
      <c r="C44" s="18"/>
      <c r="D44" s="18"/>
    </row>
    <row r="45" spans="1:4" x14ac:dyDescent="0.3">
      <c r="A45" s="18" t="s">
        <v>255</v>
      </c>
      <c r="B45" s="18" t="s">
        <v>256</v>
      </c>
      <c r="C45" s="18"/>
      <c r="D45" s="18"/>
    </row>
    <row r="46" spans="1:4" x14ac:dyDescent="0.3">
      <c r="A46" s="18"/>
      <c r="B46" s="18"/>
      <c r="C46" s="18"/>
      <c r="D46" s="1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H15" sqref="H15:H16"/>
    </sheetView>
  </sheetViews>
  <sheetFormatPr defaultRowHeight="14.4" x14ac:dyDescent="0.3"/>
  <cols>
    <col min="1" max="1" width="22.5546875" bestFit="1" customWidth="1"/>
    <col min="2" max="2" width="80.6640625" bestFit="1" customWidth="1"/>
  </cols>
  <sheetData>
    <row r="1" spans="1:11" x14ac:dyDescent="0.3">
      <c r="A1" s="1" t="s">
        <v>257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" thickBot="1" x14ac:dyDescent="0.35">
      <c r="A2" s="18" t="s">
        <v>258</v>
      </c>
      <c r="B2" s="18"/>
      <c r="C2" s="18"/>
      <c r="D2" s="18"/>
      <c r="E2" s="18"/>
      <c r="F2" s="18"/>
    </row>
    <row r="3" spans="1:11" ht="15" thickBot="1" x14ac:dyDescent="0.35">
      <c r="A3" s="120" t="s">
        <v>136</v>
      </c>
      <c r="B3" s="122">
        <f>B4</f>
        <v>10300</v>
      </c>
      <c r="C3" s="18"/>
      <c r="D3" s="18"/>
      <c r="E3" s="18"/>
      <c r="F3" s="18"/>
    </row>
    <row r="4" spans="1:11" x14ac:dyDescent="0.3">
      <c r="A4" s="1" t="s">
        <v>2</v>
      </c>
      <c r="B4" s="11">
        <f>SUM(B5:B7)</f>
        <v>10300</v>
      </c>
      <c r="C4" s="18"/>
      <c r="D4" s="18"/>
      <c r="E4" s="18"/>
      <c r="F4" s="18"/>
    </row>
    <row r="5" spans="1:11" x14ac:dyDescent="0.3">
      <c r="A5" s="18" t="s">
        <v>137</v>
      </c>
      <c r="B5" s="7">
        <v>1000</v>
      </c>
      <c r="C5" s="18"/>
      <c r="D5" s="18"/>
      <c r="E5" s="18"/>
      <c r="F5" s="18"/>
    </row>
    <row r="6" spans="1:11" x14ac:dyDescent="0.3">
      <c r="A6" t="s">
        <v>433</v>
      </c>
      <c r="B6" s="7">
        <v>300</v>
      </c>
    </row>
    <row r="7" spans="1:11" x14ac:dyDescent="0.3">
      <c r="A7" t="s">
        <v>457</v>
      </c>
      <c r="B7" s="7">
        <v>9000</v>
      </c>
    </row>
    <row r="9" spans="1:11" x14ac:dyDescent="0.3">
      <c r="A9" s="1" t="s">
        <v>8</v>
      </c>
    </row>
    <row r="10" spans="1:11" x14ac:dyDescent="0.3">
      <c r="A10" t="s">
        <v>9</v>
      </c>
    </row>
    <row r="11" spans="1:11" x14ac:dyDescent="0.3">
      <c r="A11" t="s">
        <v>19</v>
      </c>
    </row>
    <row r="12" spans="1:11" x14ac:dyDescent="0.3">
      <c r="A12" t="s">
        <v>468</v>
      </c>
    </row>
    <row r="13" spans="1:11" x14ac:dyDescent="0.3">
      <c r="A13" t="s">
        <v>18</v>
      </c>
    </row>
    <row r="14" spans="1:11" x14ac:dyDescent="0.3">
      <c r="A14" t="s">
        <v>458</v>
      </c>
      <c r="B14" t="s">
        <v>467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workbookViewId="0">
      <selection activeCell="B19" sqref="B18:B19"/>
    </sheetView>
  </sheetViews>
  <sheetFormatPr defaultRowHeight="14.4" x14ac:dyDescent="0.3"/>
  <cols>
    <col min="1" max="1" width="46.33203125" bestFit="1" customWidth="1"/>
    <col min="2" max="2" width="20.77734375" bestFit="1" customWidth="1"/>
    <col min="3" max="3" width="48.33203125" bestFit="1" customWidth="1"/>
    <col min="4" max="4" width="113.21875" bestFit="1" customWidth="1"/>
  </cols>
  <sheetData>
    <row r="1" spans="1:9" x14ac:dyDescent="0.3">
      <c r="A1" s="1" t="s">
        <v>259</v>
      </c>
      <c r="B1" s="1"/>
      <c r="C1" s="15"/>
      <c r="D1" s="15"/>
      <c r="E1" s="15"/>
      <c r="F1" s="15"/>
      <c r="G1" s="15"/>
      <c r="H1" s="15"/>
      <c r="I1" s="15"/>
    </row>
    <row r="2" spans="1:9" x14ac:dyDescent="0.3">
      <c r="A2" s="15" t="s">
        <v>260</v>
      </c>
      <c r="B2" s="15"/>
      <c r="C2" s="15"/>
      <c r="D2" s="15"/>
      <c r="E2" s="15"/>
      <c r="F2" s="15"/>
      <c r="G2" s="15"/>
      <c r="H2" s="15"/>
      <c r="I2" s="15"/>
    </row>
    <row r="3" spans="1:9" x14ac:dyDescent="0.3">
      <c r="A3" s="18"/>
      <c r="B3" s="18"/>
      <c r="C3" s="18"/>
      <c r="D3" s="18"/>
      <c r="E3" s="15"/>
      <c r="F3" s="15"/>
      <c r="G3" s="15"/>
      <c r="H3" s="15"/>
      <c r="I3" s="15"/>
    </row>
    <row r="4" spans="1:9" x14ac:dyDescent="0.3">
      <c r="A4" s="1" t="s">
        <v>261</v>
      </c>
      <c r="B4" s="47" t="s">
        <v>471</v>
      </c>
      <c r="C4" s="1" t="s">
        <v>473</v>
      </c>
      <c r="D4" t="s">
        <v>475</v>
      </c>
      <c r="E4" s="15"/>
      <c r="F4" s="15"/>
      <c r="G4" s="15"/>
      <c r="H4" s="15"/>
      <c r="I4" s="15"/>
    </row>
    <row r="5" spans="1:9" x14ac:dyDescent="0.3">
      <c r="B5" s="1" t="s">
        <v>474</v>
      </c>
      <c r="C5" s="125">
        <f>64965.55-12604</f>
        <v>52361.55</v>
      </c>
      <c r="E5" s="15"/>
      <c r="F5" s="15"/>
      <c r="G5" s="15"/>
      <c r="H5" s="15"/>
      <c r="I5" s="15"/>
    </row>
    <row r="6" spans="1:9" ht="15" thickBot="1" x14ac:dyDescent="0.35">
      <c r="C6" s="1"/>
      <c r="D6" s="18"/>
      <c r="E6" s="15"/>
      <c r="F6" s="15"/>
      <c r="G6" s="15"/>
      <c r="H6" s="15"/>
      <c r="I6" s="15"/>
    </row>
    <row r="7" spans="1:9" ht="15" thickBot="1" x14ac:dyDescent="0.35">
      <c r="A7" s="117" t="s">
        <v>472</v>
      </c>
      <c r="B7" s="118">
        <f>100000-C5</f>
        <v>47638.45</v>
      </c>
      <c r="C7" s="17"/>
      <c r="D7" s="47"/>
      <c r="E7" s="15"/>
      <c r="F7" s="15"/>
      <c r="G7" s="15"/>
      <c r="H7" s="15"/>
      <c r="I7" s="15"/>
    </row>
    <row r="8" spans="1:9" ht="15" thickBot="1" x14ac:dyDescent="0.35">
      <c r="A8" s="2"/>
      <c r="B8" s="111"/>
      <c r="C8" s="18"/>
      <c r="D8" s="18"/>
      <c r="E8" s="15"/>
      <c r="F8" s="15"/>
      <c r="G8" s="15"/>
      <c r="H8" s="15"/>
      <c r="I8" s="15"/>
    </row>
    <row r="9" spans="1:9" ht="15" thickBot="1" x14ac:dyDescent="0.35">
      <c r="A9" s="48" t="s">
        <v>203</v>
      </c>
      <c r="B9" s="2" t="s">
        <v>262</v>
      </c>
      <c r="C9" s="49">
        <f>SUM(C10:C14)</f>
        <v>362800</v>
      </c>
      <c r="D9" s="15" t="s">
        <v>263</v>
      </c>
      <c r="E9" s="15"/>
      <c r="F9" s="15"/>
      <c r="G9" s="15"/>
      <c r="H9" s="15"/>
      <c r="I9" s="15"/>
    </row>
    <row r="10" spans="1:9" x14ac:dyDescent="0.3">
      <c r="A10" s="50" t="s">
        <v>264</v>
      </c>
      <c r="B10" s="15">
        <v>1</v>
      </c>
      <c r="C10" s="47">
        <f>35*450+30000</f>
        <v>45750</v>
      </c>
      <c r="D10" s="15" t="s">
        <v>265</v>
      </c>
      <c r="E10" s="15"/>
      <c r="F10" s="15"/>
      <c r="G10" s="15"/>
      <c r="H10" s="15"/>
      <c r="I10" s="15"/>
    </row>
    <row r="11" spans="1:9" x14ac:dyDescent="0.3">
      <c r="A11" s="15" t="s">
        <v>266</v>
      </c>
      <c r="B11" s="15">
        <v>2</v>
      </c>
      <c r="C11" s="47">
        <v>2550</v>
      </c>
      <c r="D11" s="15"/>
      <c r="E11" s="15"/>
      <c r="F11" s="15"/>
      <c r="G11" s="15"/>
      <c r="H11" s="15"/>
      <c r="I11" s="15"/>
    </row>
    <row r="12" spans="1:9" x14ac:dyDescent="0.3">
      <c r="A12" s="15" t="s">
        <v>267</v>
      </c>
      <c r="B12" s="15">
        <v>3</v>
      </c>
      <c r="C12" s="47">
        <v>10000</v>
      </c>
      <c r="D12" s="15"/>
      <c r="E12" s="15"/>
      <c r="F12" s="15"/>
      <c r="G12" s="15"/>
      <c r="H12" s="15"/>
      <c r="I12" s="15"/>
    </row>
    <row r="13" spans="1:9" x14ac:dyDescent="0.3">
      <c r="A13" s="15" t="s">
        <v>268</v>
      </c>
      <c r="B13" s="15">
        <v>4</v>
      </c>
      <c r="C13" s="51">
        <f>22500+280000</f>
        <v>302500</v>
      </c>
      <c r="D13" s="15"/>
      <c r="E13" s="15"/>
      <c r="F13" s="15"/>
      <c r="G13" s="15"/>
      <c r="H13" s="15"/>
      <c r="I13" s="15"/>
    </row>
    <row r="14" spans="1:9" x14ac:dyDescent="0.3">
      <c r="A14" s="15" t="s">
        <v>269</v>
      </c>
      <c r="B14" s="15">
        <v>5</v>
      </c>
      <c r="C14" s="47">
        <v>2000</v>
      </c>
      <c r="D14" s="15"/>
      <c r="E14" s="15"/>
      <c r="F14" s="15"/>
      <c r="G14" s="15"/>
      <c r="H14" s="15"/>
      <c r="I14" s="15"/>
    </row>
    <row r="15" spans="1:9" x14ac:dyDescent="0.3">
      <c r="A15" s="15"/>
      <c r="B15" s="15"/>
      <c r="C15" s="15"/>
      <c r="D15" s="15"/>
      <c r="E15" s="15"/>
      <c r="F15" s="15"/>
      <c r="G15" s="15"/>
      <c r="H15" s="15"/>
      <c r="I15" s="15"/>
    </row>
    <row r="16" spans="1:9" x14ac:dyDescent="0.3">
      <c r="A16" s="15"/>
      <c r="B16" s="15"/>
      <c r="C16" s="15"/>
      <c r="D16" s="15"/>
      <c r="E16" s="15"/>
      <c r="F16" s="15"/>
      <c r="G16" s="15"/>
      <c r="H16" s="15"/>
      <c r="I16" s="15"/>
    </row>
    <row r="17" spans="1:9" x14ac:dyDescent="0.3">
      <c r="A17" s="1" t="s">
        <v>270</v>
      </c>
      <c r="B17" s="1"/>
      <c r="C17" s="15"/>
      <c r="D17" s="15"/>
      <c r="E17" s="15"/>
      <c r="F17" s="15"/>
      <c r="G17" s="15"/>
      <c r="H17" s="15"/>
      <c r="I17" s="15"/>
    </row>
    <row r="18" spans="1:9" x14ac:dyDescent="0.3">
      <c r="A18" s="15" t="s">
        <v>9</v>
      </c>
      <c r="B18" s="15" t="s">
        <v>271</v>
      </c>
      <c r="C18" s="15" t="s">
        <v>272</v>
      </c>
      <c r="D18" s="15" t="s">
        <v>273</v>
      </c>
      <c r="E18" s="15"/>
      <c r="F18" s="15"/>
      <c r="G18" s="15"/>
      <c r="H18" s="15"/>
      <c r="I18" s="15"/>
    </row>
    <row r="19" spans="1:9" x14ac:dyDescent="0.3">
      <c r="A19" s="15"/>
      <c r="B19" s="15" t="s">
        <v>274</v>
      </c>
      <c r="C19" s="52">
        <v>25000</v>
      </c>
      <c r="D19" s="15" t="s">
        <v>275</v>
      </c>
      <c r="E19" s="15"/>
      <c r="F19" s="15"/>
      <c r="G19" s="15"/>
      <c r="H19" s="15"/>
      <c r="I19" s="15"/>
    </row>
    <row r="20" spans="1:9" x14ac:dyDescent="0.3">
      <c r="A20" s="15" t="s">
        <v>18</v>
      </c>
      <c r="B20" s="15" t="s">
        <v>271</v>
      </c>
      <c r="C20" s="15" t="s">
        <v>276</v>
      </c>
      <c r="D20" s="15" t="s">
        <v>277</v>
      </c>
      <c r="E20" s="15"/>
      <c r="F20" s="15"/>
      <c r="G20" s="15"/>
      <c r="H20" s="15"/>
      <c r="I20" s="15"/>
    </row>
    <row r="21" spans="1:9" x14ac:dyDescent="0.3">
      <c r="A21" s="15" t="s">
        <v>23</v>
      </c>
      <c r="B21" s="15" t="s">
        <v>274</v>
      </c>
      <c r="C21" s="15" t="s">
        <v>278</v>
      </c>
      <c r="D21" s="15"/>
      <c r="E21" s="15"/>
      <c r="F21" s="15"/>
      <c r="G21" s="15"/>
      <c r="H21" s="15"/>
      <c r="I21" s="15"/>
    </row>
    <row r="22" spans="1:9" x14ac:dyDescent="0.3">
      <c r="A22" s="15" t="s">
        <v>25</v>
      </c>
      <c r="B22" s="15" t="s">
        <v>271</v>
      </c>
      <c r="C22" s="50" t="s">
        <v>279</v>
      </c>
      <c r="D22" s="15" t="s">
        <v>280</v>
      </c>
      <c r="E22" s="15"/>
      <c r="F22" s="15"/>
      <c r="G22" s="15"/>
      <c r="H22" s="15"/>
      <c r="I22" s="15"/>
    </row>
    <row r="23" spans="1:9" x14ac:dyDescent="0.3">
      <c r="A23" s="15"/>
      <c r="B23" s="15" t="s">
        <v>274</v>
      </c>
      <c r="C23" s="52">
        <v>280000</v>
      </c>
      <c r="D23" s="15" t="s">
        <v>281</v>
      </c>
      <c r="E23" s="15"/>
      <c r="F23" s="15"/>
      <c r="G23" s="15"/>
      <c r="H23" s="15"/>
      <c r="I23" s="15"/>
    </row>
    <row r="24" spans="1:9" x14ac:dyDescent="0.3">
      <c r="A24" s="50" t="s">
        <v>32</v>
      </c>
      <c r="B24" s="50" t="s">
        <v>271</v>
      </c>
      <c r="C24" s="53" t="s">
        <v>282</v>
      </c>
      <c r="D24" s="15" t="s">
        <v>283</v>
      </c>
      <c r="E24" s="15"/>
      <c r="F24" s="15"/>
      <c r="G24" s="15"/>
      <c r="H24" s="15"/>
      <c r="I24" s="15"/>
    </row>
    <row r="25" spans="1:9" x14ac:dyDescent="0.3">
      <c r="A25" s="50"/>
      <c r="B25" s="50"/>
      <c r="C25" s="53"/>
      <c r="D25" s="15"/>
      <c r="E25" s="15"/>
      <c r="F25" s="15"/>
      <c r="G25" s="15"/>
      <c r="H25" s="15"/>
      <c r="I25" s="15"/>
    </row>
    <row r="26" spans="1:9" ht="15" thickBot="1" x14ac:dyDescent="0.35">
      <c r="A26" s="50"/>
      <c r="B26" s="50"/>
      <c r="C26" s="50"/>
      <c r="D26" s="15"/>
      <c r="E26" s="15"/>
      <c r="F26" s="15"/>
      <c r="G26" s="15"/>
      <c r="H26" s="15"/>
      <c r="I26" s="15"/>
    </row>
    <row r="27" spans="1:9" ht="15" thickBot="1" x14ac:dyDescent="0.35">
      <c r="A27" s="54" t="s">
        <v>2</v>
      </c>
      <c r="B27" s="29"/>
      <c r="C27" s="55">
        <f>SUM(C28:C35)</f>
        <v>313034.5</v>
      </c>
      <c r="D27" s="15"/>
      <c r="E27" s="15"/>
      <c r="F27" s="15"/>
      <c r="G27" s="15"/>
      <c r="H27" s="15"/>
      <c r="I27" s="15"/>
    </row>
    <row r="28" spans="1:9" x14ac:dyDescent="0.3">
      <c r="A28" s="50" t="s">
        <v>264</v>
      </c>
      <c r="B28" s="50">
        <v>1</v>
      </c>
      <c r="C28" s="51">
        <f>39:39</f>
        <v>0</v>
      </c>
      <c r="D28" s="15" t="s">
        <v>284</v>
      </c>
      <c r="E28" s="15"/>
      <c r="F28" s="15"/>
      <c r="G28" s="15"/>
      <c r="H28" s="15"/>
      <c r="I28" s="15"/>
    </row>
    <row r="29" spans="1:9" x14ac:dyDescent="0.3">
      <c r="A29" s="50" t="s">
        <v>266</v>
      </c>
      <c r="B29" s="50">
        <v>2</v>
      </c>
      <c r="C29" s="51">
        <f>$C$49</f>
        <v>2600</v>
      </c>
      <c r="D29" s="15"/>
      <c r="E29" s="15"/>
      <c r="F29" s="15"/>
      <c r="G29" s="15"/>
      <c r="H29" s="15"/>
      <c r="I29" s="15"/>
    </row>
    <row r="30" spans="1:9" x14ac:dyDescent="0.3">
      <c r="A30" s="50" t="s">
        <v>269</v>
      </c>
      <c r="B30" s="50">
        <v>3</v>
      </c>
      <c r="C30" s="51">
        <f>$C$53</f>
        <v>6600</v>
      </c>
      <c r="D30" s="15"/>
      <c r="E30" s="15"/>
      <c r="F30" s="15"/>
      <c r="G30" s="15"/>
      <c r="H30" s="15"/>
      <c r="I30" s="15"/>
    </row>
    <row r="31" spans="1:9" x14ac:dyDescent="0.3">
      <c r="A31" s="50" t="s">
        <v>285</v>
      </c>
      <c r="B31" s="50">
        <v>4</v>
      </c>
      <c r="C31" s="51">
        <f>$C$56</f>
        <v>7000</v>
      </c>
      <c r="D31" s="15"/>
      <c r="E31" s="15"/>
      <c r="F31" s="15"/>
      <c r="G31" s="15"/>
      <c r="H31" s="15"/>
      <c r="I31" s="15"/>
    </row>
    <row r="32" spans="1:9" x14ac:dyDescent="0.3">
      <c r="A32" s="50" t="s">
        <v>286</v>
      </c>
      <c r="B32" s="50">
        <v>5</v>
      </c>
      <c r="C32" s="51">
        <v>500</v>
      </c>
      <c r="D32" s="15"/>
      <c r="E32" s="15"/>
      <c r="F32" s="15"/>
      <c r="G32" s="15"/>
      <c r="H32" s="15"/>
      <c r="I32" s="15"/>
    </row>
    <row r="33" spans="1:9" x14ac:dyDescent="0.3">
      <c r="A33" s="50" t="s">
        <v>287</v>
      </c>
      <c r="B33" s="50">
        <v>6</v>
      </c>
      <c r="C33" s="51">
        <v>0</v>
      </c>
      <c r="D33" s="15"/>
      <c r="E33" s="15"/>
      <c r="F33" s="15"/>
      <c r="G33" s="15"/>
      <c r="H33" s="15"/>
      <c r="I33" s="15"/>
    </row>
    <row r="34" spans="1:9" x14ac:dyDescent="0.3">
      <c r="A34" s="50" t="s">
        <v>267</v>
      </c>
      <c r="B34" s="50">
        <v>7</v>
      </c>
      <c r="C34" s="51">
        <f>$C$62</f>
        <v>7000</v>
      </c>
      <c r="D34" s="15"/>
      <c r="E34" s="15"/>
      <c r="F34" s="15"/>
      <c r="G34" s="15"/>
      <c r="H34" s="15"/>
      <c r="I34" s="15"/>
    </row>
    <row r="35" spans="1:9" x14ac:dyDescent="0.3">
      <c r="A35" s="50" t="s">
        <v>268</v>
      </c>
      <c r="B35" s="50">
        <v>8</v>
      </c>
      <c r="C35" s="51">
        <f>$C$76</f>
        <v>289334.5</v>
      </c>
      <c r="D35" s="15"/>
      <c r="E35" s="15"/>
      <c r="F35" s="15"/>
      <c r="G35" s="15"/>
      <c r="H35" s="15"/>
      <c r="I35" s="15"/>
    </row>
    <row r="36" spans="1:9" ht="15" thickBot="1" x14ac:dyDescent="0.35">
      <c r="A36" s="50" t="s">
        <v>126</v>
      </c>
      <c r="B36" s="50"/>
      <c r="C36" s="56">
        <v>1000</v>
      </c>
      <c r="D36" s="15"/>
      <c r="E36" s="15"/>
      <c r="F36" s="15"/>
      <c r="G36" s="15"/>
      <c r="H36" s="15"/>
      <c r="I36" s="15"/>
    </row>
    <row r="37" spans="1:9" ht="20.399999999999999" customHeight="1" thickBot="1" x14ac:dyDescent="0.35">
      <c r="A37" s="54" t="s">
        <v>109</v>
      </c>
      <c r="B37" s="29"/>
      <c r="C37" s="57">
        <f>C9-C27</f>
        <v>49765.5</v>
      </c>
      <c r="D37" s="58"/>
      <c r="E37" s="15"/>
      <c r="F37" s="15"/>
      <c r="G37" s="15"/>
      <c r="H37" s="15"/>
      <c r="I37" s="15"/>
    </row>
    <row r="38" spans="1:9" ht="28.2" customHeight="1" x14ac:dyDescent="0.3">
      <c r="A38" s="50"/>
      <c r="B38" s="50"/>
      <c r="C38" s="50"/>
      <c r="D38" s="15"/>
      <c r="E38" s="15"/>
      <c r="F38" s="15"/>
      <c r="G38" s="15"/>
      <c r="H38" s="15"/>
      <c r="I38" s="15"/>
    </row>
    <row r="39" spans="1:9" x14ac:dyDescent="0.3">
      <c r="A39" s="50"/>
      <c r="B39" s="50"/>
      <c r="C39" s="50"/>
      <c r="D39" s="15"/>
      <c r="E39" s="15"/>
      <c r="F39" s="15"/>
      <c r="G39" s="15"/>
      <c r="H39" s="15"/>
      <c r="I39" s="15"/>
    </row>
    <row r="40" spans="1:9" x14ac:dyDescent="0.3">
      <c r="A40" s="59" t="s">
        <v>288</v>
      </c>
      <c r="B40" s="59"/>
      <c r="C40" s="50"/>
      <c r="D40" s="15"/>
      <c r="E40" s="15"/>
      <c r="F40" s="15"/>
      <c r="G40" s="15"/>
      <c r="H40" s="15"/>
      <c r="I40" s="15"/>
    </row>
    <row r="41" spans="1:9" x14ac:dyDescent="0.3">
      <c r="A41" s="15" t="s">
        <v>9</v>
      </c>
      <c r="B41" s="15" t="s">
        <v>111</v>
      </c>
      <c r="C41" s="15">
        <f>25000/100*105</f>
        <v>26250</v>
      </c>
      <c r="D41" s="15" t="s">
        <v>289</v>
      </c>
      <c r="E41" s="15"/>
      <c r="F41" s="15"/>
      <c r="G41" s="15"/>
      <c r="H41" s="15"/>
      <c r="I41" s="15"/>
    </row>
    <row r="42" spans="1:9" x14ac:dyDescent="0.3">
      <c r="A42" s="15"/>
      <c r="B42" s="15" t="s">
        <v>290</v>
      </c>
      <c r="C42" s="15">
        <f>6480/100*105</f>
        <v>6804</v>
      </c>
      <c r="D42" s="15" t="s">
        <v>289</v>
      </c>
      <c r="E42" s="15"/>
      <c r="F42" s="15"/>
      <c r="G42" s="15"/>
      <c r="H42" s="15"/>
      <c r="I42" s="15"/>
    </row>
    <row r="43" spans="1:9" x14ac:dyDescent="0.3">
      <c r="A43" s="15"/>
      <c r="B43" s="15" t="s">
        <v>291</v>
      </c>
      <c r="C43" s="15">
        <f>5759/100*105</f>
        <v>6046.9500000000007</v>
      </c>
      <c r="D43" s="15" t="s">
        <v>289</v>
      </c>
      <c r="E43" s="15"/>
      <c r="F43" s="15"/>
      <c r="G43" s="15"/>
      <c r="H43" s="15"/>
      <c r="I43" s="15"/>
    </row>
    <row r="44" spans="1:9" ht="15" thickBot="1" x14ac:dyDescent="0.35">
      <c r="A44" s="15"/>
      <c r="B44" s="15" t="s">
        <v>292</v>
      </c>
      <c r="C44" s="15">
        <f>5780/100*105</f>
        <v>6069</v>
      </c>
      <c r="D44" s="15" t="s">
        <v>293</v>
      </c>
      <c r="E44" s="15"/>
      <c r="F44" s="15"/>
      <c r="G44" s="15"/>
      <c r="H44" s="15"/>
      <c r="I44" s="15"/>
    </row>
    <row r="45" spans="1:9" ht="15" thickBot="1" x14ac:dyDescent="0.35">
      <c r="A45" s="15"/>
      <c r="B45" s="15"/>
      <c r="C45" s="60">
        <f>SUM(C41:C44)</f>
        <v>45169.95</v>
      </c>
      <c r="D45" s="15"/>
      <c r="E45" s="15"/>
      <c r="F45" s="15"/>
      <c r="G45" s="15"/>
      <c r="H45" s="15"/>
      <c r="I45" s="15"/>
    </row>
    <row r="46" spans="1:9" x14ac:dyDescent="0.3">
      <c r="A46" s="15" t="s">
        <v>18</v>
      </c>
      <c r="B46" s="15" t="s">
        <v>294</v>
      </c>
      <c r="C46" s="15">
        <f>30*60</f>
        <v>1800</v>
      </c>
      <c r="D46" s="15" t="s">
        <v>295</v>
      </c>
      <c r="E46" s="15"/>
      <c r="F46" s="15"/>
      <c r="G46" s="15"/>
      <c r="H46" s="15"/>
      <c r="I46" s="15"/>
    </row>
    <row r="47" spans="1:9" x14ac:dyDescent="0.3">
      <c r="A47" s="15"/>
      <c r="B47" s="15" t="s">
        <v>296</v>
      </c>
      <c r="C47" s="15">
        <v>100</v>
      </c>
      <c r="D47" s="15" t="s">
        <v>297</v>
      </c>
      <c r="E47" s="15"/>
      <c r="F47" s="15"/>
      <c r="G47" s="15"/>
      <c r="H47" s="15"/>
      <c r="I47" s="15"/>
    </row>
    <row r="48" spans="1:9" ht="15" thickBot="1" x14ac:dyDescent="0.35">
      <c r="A48" s="15"/>
      <c r="B48" s="15" t="s">
        <v>298</v>
      </c>
      <c r="C48" s="15">
        <v>700</v>
      </c>
      <c r="D48" s="15" t="s">
        <v>299</v>
      </c>
      <c r="E48" s="15"/>
      <c r="F48" s="15"/>
      <c r="G48" s="15"/>
      <c r="H48" s="15"/>
      <c r="I48" s="15"/>
    </row>
    <row r="49" spans="1:9" ht="15" thickBot="1" x14ac:dyDescent="0.35">
      <c r="A49" s="15"/>
      <c r="B49" s="15"/>
      <c r="C49" s="60">
        <f>SUM(C46:C48)</f>
        <v>2600</v>
      </c>
      <c r="D49" s="15"/>
      <c r="E49" s="15"/>
      <c r="F49" s="15"/>
      <c r="G49" s="15"/>
      <c r="H49" s="15"/>
      <c r="I49" s="15"/>
    </row>
    <row r="50" spans="1:9" x14ac:dyDescent="0.3">
      <c r="A50" s="15" t="s">
        <v>23</v>
      </c>
      <c r="B50" s="15" t="s">
        <v>300</v>
      </c>
      <c r="C50" s="15">
        <v>2000</v>
      </c>
      <c r="D50" s="15"/>
      <c r="E50" s="50"/>
      <c r="F50" s="50"/>
      <c r="G50" s="15"/>
      <c r="H50" s="15"/>
      <c r="I50" s="15"/>
    </row>
    <row r="51" spans="1:9" x14ac:dyDescent="0.3">
      <c r="A51" s="15"/>
      <c r="B51" s="15" t="s">
        <v>290</v>
      </c>
      <c r="C51" s="15">
        <v>4500</v>
      </c>
      <c r="D51" s="15" t="s">
        <v>301</v>
      </c>
      <c r="E51" s="50"/>
      <c r="F51" s="50"/>
      <c r="G51" s="15"/>
      <c r="H51" s="15"/>
      <c r="I51" s="15"/>
    </row>
    <row r="52" spans="1:9" ht="15" thickBot="1" x14ac:dyDescent="0.35">
      <c r="A52" s="15"/>
      <c r="B52" s="15" t="s">
        <v>296</v>
      </c>
      <c r="C52" s="15">
        <v>100</v>
      </c>
      <c r="D52" s="15" t="s">
        <v>302</v>
      </c>
      <c r="E52" s="50"/>
      <c r="F52" s="50"/>
      <c r="G52" s="15"/>
      <c r="H52" s="15"/>
      <c r="I52" s="15"/>
    </row>
    <row r="53" spans="1:9" ht="15" thickBot="1" x14ac:dyDescent="0.35">
      <c r="A53" s="15"/>
      <c r="B53" s="15"/>
      <c r="C53" s="60">
        <f>SUM(C50:C52)</f>
        <v>6600</v>
      </c>
      <c r="D53" s="15"/>
      <c r="E53" s="50"/>
      <c r="F53" s="50"/>
      <c r="G53" s="15"/>
      <c r="H53" s="15"/>
      <c r="I53" s="15"/>
    </row>
    <row r="54" spans="1:9" x14ac:dyDescent="0.3">
      <c r="A54" s="15" t="s">
        <v>25</v>
      </c>
      <c r="B54" s="15" t="s">
        <v>291</v>
      </c>
      <c r="C54" s="45">
        <v>6000</v>
      </c>
      <c r="D54" s="15"/>
      <c r="E54" s="50"/>
      <c r="F54" s="50"/>
      <c r="G54" s="15"/>
      <c r="H54" s="15"/>
      <c r="I54" s="15"/>
    </row>
    <row r="55" spans="1:9" ht="15" thickBot="1" x14ac:dyDescent="0.35">
      <c r="A55" s="15"/>
      <c r="B55" s="15" t="s">
        <v>303</v>
      </c>
      <c r="C55" s="15">
        <v>1000</v>
      </c>
      <c r="D55" s="15"/>
      <c r="E55" s="50"/>
      <c r="F55" s="50"/>
      <c r="G55" s="15"/>
      <c r="H55" s="15"/>
      <c r="I55" s="15"/>
    </row>
    <row r="56" spans="1:9" ht="15" thickBot="1" x14ac:dyDescent="0.35">
      <c r="A56" s="50"/>
      <c r="B56" s="50"/>
      <c r="C56" s="61">
        <f>SUM(C54:C55)</f>
        <v>7000</v>
      </c>
      <c r="D56" s="50"/>
      <c r="E56" s="50"/>
      <c r="F56" s="50"/>
      <c r="G56" s="15"/>
      <c r="H56" s="15"/>
      <c r="I56" s="15"/>
    </row>
    <row r="57" spans="1:9" ht="15" thickBot="1" x14ac:dyDescent="0.35">
      <c r="A57" s="50" t="s">
        <v>32</v>
      </c>
      <c r="B57" s="50" t="s">
        <v>304</v>
      </c>
      <c r="C57" s="61">
        <v>500</v>
      </c>
      <c r="D57" s="50"/>
      <c r="E57" s="50"/>
      <c r="F57" s="50"/>
      <c r="G57" s="15"/>
      <c r="H57" s="15"/>
      <c r="I57" s="15"/>
    </row>
    <row r="58" spans="1:9" ht="15" thickBot="1" x14ac:dyDescent="0.35">
      <c r="A58" s="50" t="s">
        <v>85</v>
      </c>
      <c r="B58" s="50"/>
      <c r="C58" s="61"/>
      <c r="D58" s="50" t="s">
        <v>305</v>
      </c>
      <c r="E58" s="50"/>
      <c r="F58" s="50"/>
      <c r="G58" s="15"/>
      <c r="H58" s="15"/>
      <c r="I58" s="15"/>
    </row>
    <row r="59" spans="1:9" x14ac:dyDescent="0.3">
      <c r="A59" s="50" t="s">
        <v>86</v>
      </c>
      <c r="B59" s="50" t="s">
        <v>306</v>
      </c>
      <c r="C59" s="45">
        <v>1000</v>
      </c>
      <c r="D59" s="50"/>
      <c r="E59" s="50"/>
      <c r="F59" s="50"/>
      <c r="G59" s="15"/>
      <c r="H59" s="15"/>
      <c r="I59" s="15"/>
    </row>
    <row r="60" spans="1:9" x14ac:dyDescent="0.3">
      <c r="A60" s="50"/>
      <c r="B60" s="50" t="s">
        <v>307</v>
      </c>
      <c r="C60" s="45">
        <v>1000</v>
      </c>
      <c r="D60" s="50"/>
      <c r="E60" s="50"/>
      <c r="F60" s="50"/>
      <c r="G60" s="15"/>
      <c r="H60" s="15"/>
      <c r="I60" s="15"/>
    </row>
    <row r="61" spans="1:9" ht="15" thickBot="1" x14ac:dyDescent="0.35">
      <c r="A61" s="50"/>
      <c r="B61" s="50" t="s">
        <v>291</v>
      </c>
      <c r="C61" s="45">
        <v>5000</v>
      </c>
      <c r="D61" s="50"/>
      <c r="E61" s="50"/>
      <c r="F61" s="50"/>
      <c r="G61" s="15"/>
      <c r="H61" s="15"/>
      <c r="I61" s="15"/>
    </row>
    <row r="62" spans="1:9" ht="15" thickBot="1" x14ac:dyDescent="0.35">
      <c r="A62" s="50"/>
      <c r="B62" s="50"/>
      <c r="C62" s="61">
        <f>SUM(C59:C61)</f>
        <v>7000</v>
      </c>
      <c r="D62" s="50"/>
      <c r="E62" s="50"/>
      <c r="F62" s="50"/>
      <c r="G62" s="15"/>
      <c r="H62" s="15"/>
      <c r="I62" s="15"/>
    </row>
    <row r="63" spans="1:9" x14ac:dyDescent="0.3">
      <c r="A63" s="50" t="s">
        <v>87</v>
      </c>
      <c r="B63" s="50" t="s">
        <v>111</v>
      </c>
      <c r="C63" s="45">
        <v>60000</v>
      </c>
      <c r="D63" s="50" t="s">
        <v>308</v>
      </c>
      <c r="E63" s="50"/>
      <c r="F63" s="50"/>
      <c r="G63" s="15"/>
      <c r="H63" s="15"/>
      <c r="I63" s="15"/>
    </row>
    <row r="64" spans="1:9" x14ac:dyDescent="0.3">
      <c r="A64" s="50"/>
      <c r="B64" s="50" t="s">
        <v>304</v>
      </c>
      <c r="C64" s="50">
        <v>3000</v>
      </c>
      <c r="D64" s="50" t="s">
        <v>309</v>
      </c>
      <c r="E64" s="50"/>
      <c r="F64" s="50"/>
      <c r="G64" s="15"/>
      <c r="H64" s="15"/>
      <c r="I64" s="15"/>
    </row>
    <row r="65" spans="1:9" x14ac:dyDescent="0.3">
      <c r="A65" s="50"/>
      <c r="B65" s="50" t="s">
        <v>291</v>
      </c>
      <c r="C65" s="50">
        <v>10000</v>
      </c>
      <c r="D65" s="50" t="s">
        <v>310</v>
      </c>
      <c r="E65" s="50"/>
      <c r="F65" s="50"/>
      <c r="G65" s="15"/>
      <c r="H65" s="15"/>
      <c r="I65" s="15"/>
    </row>
    <row r="66" spans="1:9" x14ac:dyDescent="0.3">
      <c r="A66" s="50"/>
      <c r="B66" s="50" t="s">
        <v>298</v>
      </c>
      <c r="C66" s="50">
        <v>6000</v>
      </c>
      <c r="D66" s="50" t="s">
        <v>311</v>
      </c>
      <c r="E66" s="50"/>
      <c r="F66" s="50"/>
      <c r="G66" s="15"/>
      <c r="H66" s="15"/>
      <c r="I66" s="15"/>
    </row>
    <row r="67" spans="1:9" x14ac:dyDescent="0.3">
      <c r="A67" s="50"/>
      <c r="B67" s="50" t="s">
        <v>96</v>
      </c>
      <c r="C67" s="50">
        <f>19190/100*105</f>
        <v>20149.5</v>
      </c>
      <c r="D67" s="50" t="s">
        <v>289</v>
      </c>
      <c r="E67" s="50"/>
      <c r="F67" s="50"/>
      <c r="G67" s="15"/>
      <c r="H67" s="15"/>
      <c r="I67" s="15"/>
    </row>
    <row r="68" spans="1:9" x14ac:dyDescent="0.3">
      <c r="A68" s="50"/>
      <c r="B68" s="50" t="s">
        <v>312</v>
      </c>
      <c r="C68" s="50">
        <f>13700/100*105</f>
        <v>14385</v>
      </c>
      <c r="D68" s="50" t="s">
        <v>289</v>
      </c>
      <c r="E68" s="50"/>
      <c r="F68" s="50"/>
      <c r="G68" s="15"/>
      <c r="H68" s="15"/>
      <c r="I68" s="15"/>
    </row>
    <row r="69" spans="1:9" x14ac:dyDescent="0.3">
      <c r="A69" s="50"/>
      <c r="B69" s="50" t="s">
        <v>290</v>
      </c>
      <c r="C69" s="50">
        <f>32000/100*105</f>
        <v>33600</v>
      </c>
      <c r="D69" s="50" t="s">
        <v>289</v>
      </c>
      <c r="E69" s="50"/>
      <c r="F69" s="50"/>
      <c r="G69" s="15"/>
      <c r="H69" s="15"/>
      <c r="I69" s="15"/>
    </row>
    <row r="70" spans="1:9" x14ac:dyDescent="0.3">
      <c r="A70" s="50"/>
      <c r="B70" s="50" t="s">
        <v>313</v>
      </c>
      <c r="C70" s="50">
        <f>17150/100*105</f>
        <v>18007.5</v>
      </c>
      <c r="D70" s="50" t="s">
        <v>289</v>
      </c>
      <c r="E70" s="50"/>
      <c r="F70" s="50"/>
      <c r="G70" s="15"/>
      <c r="H70" s="15"/>
      <c r="I70" s="15"/>
    </row>
    <row r="71" spans="1:9" x14ac:dyDescent="0.3">
      <c r="A71" s="50"/>
      <c r="B71" s="50" t="s">
        <v>314</v>
      </c>
      <c r="C71" s="50">
        <v>7800</v>
      </c>
      <c r="D71" s="50" t="s">
        <v>315</v>
      </c>
      <c r="E71" s="50"/>
      <c r="F71" s="50"/>
      <c r="G71" s="15"/>
      <c r="H71" s="15"/>
      <c r="I71" s="15"/>
    </row>
    <row r="72" spans="1:9" x14ac:dyDescent="0.3">
      <c r="A72" s="50"/>
      <c r="B72" s="50" t="s">
        <v>316</v>
      </c>
      <c r="C72" s="50">
        <f>14600/100*105</f>
        <v>15330</v>
      </c>
      <c r="D72" s="50" t="s">
        <v>289</v>
      </c>
      <c r="E72" s="50"/>
      <c r="F72" s="50"/>
      <c r="G72" s="15"/>
      <c r="H72" s="15"/>
      <c r="I72" s="15"/>
    </row>
    <row r="73" spans="1:9" x14ac:dyDescent="0.3">
      <c r="A73" s="50"/>
      <c r="B73" s="50" t="s">
        <v>317</v>
      </c>
      <c r="C73" s="50">
        <f>88250/100*105</f>
        <v>92662.5</v>
      </c>
      <c r="D73" s="50" t="s">
        <v>289</v>
      </c>
      <c r="E73" s="50"/>
      <c r="F73" s="50"/>
      <c r="G73" s="15"/>
      <c r="H73" s="15"/>
      <c r="I73" s="15"/>
    </row>
    <row r="74" spans="1:9" x14ac:dyDescent="0.3">
      <c r="A74" s="50"/>
      <c r="B74" s="50" t="s">
        <v>318</v>
      </c>
      <c r="C74" s="50">
        <f>4000/100*110</f>
        <v>4400</v>
      </c>
      <c r="D74" s="50" t="s">
        <v>289</v>
      </c>
      <c r="E74" s="50"/>
      <c r="F74" s="50"/>
      <c r="G74" s="15"/>
      <c r="H74" s="15"/>
      <c r="I74" s="15"/>
    </row>
    <row r="75" spans="1:9" ht="15" thickBot="1" x14ac:dyDescent="0.35">
      <c r="A75" s="50"/>
      <c r="B75" s="50" t="s">
        <v>292</v>
      </c>
      <c r="C75" s="45">
        <f>4000</f>
        <v>4000</v>
      </c>
      <c r="D75" s="50" t="s">
        <v>319</v>
      </c>
      <c r="E75" s="3"/>
      <c r="F75" s="3"/>
      <c r="G75" s="18"/>
      <c r="H75" s="18"/>
      <c r="I75" s="18"/>
    </row>
    <row r="76" spans="1:9" ht="15" thickBot="1" x14ac:dyDescent="0.35">
      <c r="A76" s="50"/>
      <c r="B76" s="50"/>
      <c r="C76" s="61">
        <f>SUM(C63:C75)</f>
        <v>289334.5</v>
      </c>
      <c r="D76" s="50"/>
      <c r="E76" s="3"/>
      <c r="F76" s="3"/>
      <c r="G76" s="18"/>
      <c r="H76" s="18"/>
      <c r="I76" s="18"/>
    </row>
    <row r="77" spans="1:9" x14ac:dyDescent="0.3">
      <c r="A77" s="50"/>
      <c r="B77" s="50"/>
      <c r="C77" s="50"/>
      <c r="D77" s="50"/>
      <c r="E77" s="3"/>
      <c r="F77" s="3"/>
      <c r="G77" s="18"/>
      <c r="H77" s="18"/>
      <c r="I77" s="18"/>
    </row>
    <row r="78" spans="1:9" x14ac:dyDescent="0.3">
      <c r="E78" s="3"/>
      <c r="F78" s="3"/>
      <c r="G78" s="18"/>
      <c r="H78" s="18"/>
      <c r="I78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zoomScale="80" zoomScaleNormal="80" workbookViewId="0">
      <selection activeCell="B17" sqref="B17"/>
    </sheetView>
  </sheetViews>
  <sheetFormatPr defaultRowHeight="14.4" x14ac:dyDescent="0.3"/>
  <cols>
    <col min="1" max="1" width="32.6640625" bestFit="1" customWidth="1"/>
    <col min="2" max="2" width="12.5546875" bestFit="1" customWidth="1"/>
  </cols>
  <sheetData>
    <row r="1" spans="1:2" ht="15" thickBot="1" x14ac:dyDescent="0.35">
      <c r="A1" s="1" t="s">
        <v>449</v>
      </c>
    </row>
    <row r="2" spans="1:2" ht="15" thickBot="1" x14ac:dyDescent="0.35">
      <c r="A2" s="120" t="s">
        <v>136</v>
      </c>
      <c r="B2" s="122">
        <f>B3</f>
        <v>91886</v>
      </c>
    </row>
    <row r="3" spans="1:2" ht="15" thickBot="1" x14ac:dyDescent="0.35">
      <c r="A3" s="1" t="s">
        <v>2</v>
      </c>
      <c r="B3" s="17">
        <f>SUM(B4,B5,B6,B7)</f>
        <v>91886</v>
      </c>
    </row>
    <row r="4" spans="1:2" x14ac:dyDescent="0.3">
      <c r="A4" t="s">
        <v>450</v>
      </c>
      <c r="B4" s="8">
        <v>11000</v>
      </c>
    </row>
    <row r="5" spans="1:2" x14ac:dyDescent="0.3">
      <c r="A5" t="s">
        <v>453</v>
      </c>
      <c r="B5" s="9">
        <v>600</v>
      </c>
    </row>
    <row r="6" spans="1:2" x14ac:dyDescent="0.3">
      <c r="A6" t="s">
        <v>451</v>
      </c>
      <c r="B6" s="9">
        <v>286</v>
      </c>
    </row>
    <row r="7" spans="1:2" ht="15" thickBot="1" x14ac:dyDescent="0.35">
      <c r="A7" t="s">
        <v>470</v>
      </c>
      <c r="B7" s="10">
        <f>10000*8</f>
        <v>80000</v>
      </c>
    </row>
    <row r="9" spans="1:2" x14ac:dyDescent="0.3">
      <c r="A9" s="1" t="s">
        <v>8</v>
      </c>
    </row>
    <row r="10" spans="1:2" x14ac:dyDescent="0.3">
      <c r="A10" s="24" t="s">
        <v>9</v>
      </c>
    </row>
    <row r="11" spans="1:2" x14ac:dyDescent="0.3">
      <c r="A11" s="24" t="s">
        <v>107</v>
      </c>
    </row>
    <row r="12" spans="1:2" x14ac:dyDescent="0.3">
      <c r="A12" s="24" t="s">
        <v>108</v>
      </c>
    </row>
    <row r="13" spans="1:2" x14ac:dyDescent="0.3">
      <c r="A13" s="24" t="s">
        <v>452</v>
      </c>
    </row>
    <row r="15" spans="1:2" x14ac:dyDescent="0.3">
      <c r="A15" t="s">
        <v>18</v>
      </c>
    </row>
    <row r="16" spans="1:2" x14ac:dyDescent="0.3">
      <c r="A16" t="s">
        <v>476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G12" sqref="G12"/>
    </sheetView>
  </sheetViews>
  <sheetFormatPr defaultRowHeight="14.4" x14ac:dyDescent="0.3"/>
  <cols>
    <col min="1" max="1" width="26.109375" bestFit="1" customWidth="1"/>
    <col min="2" max="2" width="23.44140625" bestFit="1" customWidth="1"/>
  </cols>
  <sheetData>
    <row r="1" spans="1:2" x14ac:dyDescent="0.3">
      <c r="A1" s="1" t="s">
        <v>320</v>
      </c>
    </row>
    <row r="2" spans="1:2" ht="15" thickBot="1" x14ac:dyDescent="0.35">
      <c r="A2" t="s">
        <v>321</v>
      </c>
    </row>
    <row r="3" spans="1:2" ht="15" thickBot="1" x14ac:dyDescent="0.35">
      <c r="A3" s="120" t="s">
        <v>136</v>
      </c>
      <c r="B3" s="122">
        <f>B4</f>
        <v>18950</v>
      </c>
    </row>
    <row r="4" spans="1:2" ht="15" thickBot="1" x14ac:dyDescent="0.35">
      <c r="A4" s="1" t="s">
        <v>2</v>
      </c>
      <c r="B4" s="17">
        <f>SUM(B5:B9)</f>
        <v>18950</v>
      </c>
    </row>
    <row r="5" spans="1:2" x14ac:dyDescent="0.3">
      <c r="A5" t="s">
        <v>322</v>
      </c>
      <c r="B5" s="8">
        <v>2500</v>
      </c>
    </row>
    <row r="6" spans="1:2" x14ac:dyDescent="0.3">
      <c r="A6" t="s">
        <v>324</v>
      </c>
      <c r="B6" s="9">
        <f>3500+(4*550)</f>
        <v>5700</v>
      </c>
    </row>
    <row r="7" spans="1:2" x14ac:dyDescent="0.3">
      <c r="A7" t="s">
        <v>327</v>
      </c>
      <c r="B7" s="9">
        <v>5000</v>
      </c>
    </row>
    <row r="8" spans="1:2" x14ac:dyDescent="0.3">
      <c r="A8" t="s">
        <v>5</v>
      </c>
      <c r="B8" s="9">
        <v>1000</v>
      </c>
    </row>
    <row r="9" spans="1:2" ht="15" thickBot="1" x14ac:dyDescent="0.35">
      <c r="A9" t="s">
        <v>332</v>
      </c>
      <c r="B9" s="10">
        <f>SUM(B25,B28)</f>
        <v>4750</v>
      </c>
    </row>
    <row r="11" spans="1:2" x14ac:dyDescent="0.3">
      <c r="A11" s="1" t="s">
        <v>8</v>
      </c>
    </row>
    <row r="12" spans="1:2" x14ac:dyDescent="0.3">
      <c r="A12" t="s">
        <v>9</v>
      </c>
    </row>
    <row r="13" spans="1:2" x14ac:dyDescent="0.3">
      <c r="A13" t="s">
        <v>185</v>
      </c>
      <c r="B13" t="s">
        <v>323</v>
      </c>
    </row>
    <row r="14" spans="1:2" x14ac:dyDescent="0.3">
      <c r="A14" t="s">
        <v>18</v>
      </c>
    </row>
    <row r="15" spans="1:2" x14ac:dyDescent="0.3">
      <c r="A15" t="s">
        <v>185</v>
      </c>
      <c r="B15" t="s">
        <v>323</v>
      </c>
    </row>
    <row r="16" spans="1:2" x14ac:dyDescent="0.3">
      <c r="A16" t="s">
        <v>111</v>
      </c>
      <c r="B16">
        <v>3500</v>
      </c>
    </row>
    <row r="17" spans="1:2" x14ac:dyDescent="0.3">
      <c r="A17" t="s">
        <v>325</v>
      </c>
      <c r="B17" t="s">
        <v>326</v>
      </c>
    </row>
    <row r="18" spans="1:2" x14ac:dyDescent="0.3">
      <c r="A18" t="s">
        <v>23</v>
      </c>
    </row>
    <row r="19" spans="1:2" x14ac:dyDescent="0.3">
      <c r="A19" t="s">
        <v>328</v>
      </c>
    </row>
    <row r="20" spans="1:2" x14ac:dyDescent="0.3">
      <c r="A20" t="s">
        <v>111</v>
      </c>
      <c r="B20" t="s">
        <v>329</v>
      </c>
    </row>
    <row r="21" spans="1:2" x14ac:dyDescent="0.3">
      <c r="A21" t="s">
        <v>330</v>
      </c>
      <c r="B21" t="s">
        <v>331</v>
      </c>
    </row>
    <row r="22" spans="1:2" x14ac:dyDescent="0.3">
      <c r="A22" t="s">
        <v>25</v>
      </c>
    </row>
    <row r="23" spans="1:2" x14ac:dyDescent="0.3">
      <c r="A23" t="s">
        <v>333</v>
      </c>
    </row>
    <row r="24" spans="1:2" x14ac:dyDescent="0.3">
      <c r="A24" t="s">
        <v>111</v>
      </c>
      <c r="B24" t="s">
        <v>329</v>
      </c>
    </row>
    <row r="25" spans="1:2" x14ac:dyDescent="0.3">
      <c r="A25" t="s">
        <v>334</v>
      </c>
      <c r="B25">
        <v>2250</v>
      </c>
    </row>
    <row r="26" spans="1:2" x14ac:dyDescent="0.3">
      <c r="A26" t="s">
        <v>168</v>
      </c>
    </row>
    <row r="27" spans="1:2" x14ac:dyDescent="0.3">
      <c r="A27" t="s">
        <v>335</v>
      </c>
    </row>
    <row r="28" spans="1:2" x14ac:dyDescent="0.3">
      <c r="A28" t="s">
        <v>336</v>
      </c>
      <c r="B28">
        <v>2500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G7" sqref="G7"/>
    </sheetView>
  </sheetViews>
  <sheetFormatPr defaultRowHeight="14.4" x14ac:dyDescent="0.3"/>
  <cols>
    <col min="1" max="1" width="80.109375" bestFit="1" customWidth="1"/>
    <col min="2" max="2" width="12.44140625" bestFit="1" customWidth="1"/>
  </cols>
  <sheetData>
    <row r="1" spans="1:3" x14ac:dyDescent="0.3">
      <c r="A1" s="1" t="s">
        <v>337</v>
      </c>
    </row>
    <row r="2" spans="1:3" ht="15" thickBot="1" x14ac:dyDescent="0.35">
      <c r="A2" t="s">
        <v>338</v>
      </c>
    </row>
    <row r="3" spans="1:3" ht="15" thickBot="1" x14ac:dyDescent="0.35">
      <c r="A3" s="120" t="s">
        <v>136</v>
      </c>
      <c r="B3" s="118">
        <f>B4</f>
        <v>70034.666666666657</v>
      </c>
    </row>
    <row r="4" spans="1:3" x14ac:dyDescent="0.3">
      <c r="A4" s="1" t="s">
        <v>2</v>
      </c>
      <c r="B4" s="11">
        <f>SUM(B6,B18,B24,B30)</f>
        <v>70034.666666666657</v>
      </c>
      <c r="C4" s="18"/>
    </row>
    <row r="5" spans="1:3" x14ac:dyDescent="0.3">
      <c r="C5" s="18"/>
    </row>
    <row r="6" spans="1:3" ht="15" thickBot="1" x14ac:dyDescent="0.35">
      <c r="A6" s="1" t="s">
        <v>339</v>
      </c>
      <c r="B6" s="67">
        <f>SUM(B7:B14)</f>
        <v>54054.666666666664</v>
      </c>
      <c r="C6" s="18"/>
    </row>
    <row r="7" spans="1:3" x14ac:dyDescent="0.3">
      <c r="A7" s="28" t="s">
        <v>340</v>
      </c>
      <c r="B7" s="8">
        <f>36*9*7</f>
        <v>2268</v>
      </c>
      <c r="C7" s="18" t="s">
        <v>341</v>
      </c>
    </row>
    <row r="8" spans="1:3" x14ac:dyDescent="0.3">
      <c r="A8" s="28" t="s">
        <v>342</v>
      </c>
      <c r="B8" s="9">
        <f>10*3*7</f>
        <v>210</v>
      </c>
      <c r="C8" s="18" t="s">
        <v>343</v>
      </c>
    </row>
    <row r="9" spans="1:3" x14ac:dyDescent="0.3">
      <c r="A9" s="28" t="s">
        <v>344</v>
      </c>
      <c r="B9" s="9">
        <f>5*3*7</f>
        <v>105</v>
      </c>
      <c r="C9" s="18" t="s">
        <v>345</v>
      </c>
    </row>
    <row r="10" spans="1:3" x14ac:dyDescent="0.3">
      <c r="A10" s="45" t="s">
        <v>364</v>
      </c>
      <c r="B10" s="9">
        <f>15*7</f>
        <v>105</v>
      </c>
      <c r="C10" s="24" t="s">
        <v>363</v>
      </c>
    </row>
    <row r="11" spans="1:3" x14ac:dyDescent="0.3">
      <c r="A11" s="45" t="s">
        <v>346</v>
      </c>
      <c r="B11" s="9">
        <f>7500*0.46</f>
        <v>3450</v>
      </c>
      <c r="C11" s="18" t="s">
        <v>347</v>
      </c>
    </row>
    <row r="12" spans="1:3" x14ac:dyDescent="0.3">
      <c r="A12" s="45" t="s">
        <v>348</v>
      </c>
      <c r="B12" s="62">
        <v>1250</v>
      </c>
      <c r="C12" s="18"/>
    </row>
    <row r="13" spans="1:3" x14ac:dyDescent="0.3">
      <c r="A13" s="45" t="s">
        <v>349</v>
      </c>
      <c r="B13" s="9">
        <v>5000</v>
      </c>
      <c r="C13" s="18" t="s">
        <v>350</v>
      </c>
    </row>
    <row r="14" spans="1:3" x14ac:dyDescent="0.3">
      <c r="A14" s="45" t="s">
        <v>351</v>
      </c>
      <c r="B14" s="62">
        <f>((5000/24)*600)/3</f>
        <v>41666.666666666664</v>
      </c>
      <c r="C14" s="18" t="s">
        <v>352</v>
      </c>
    </row>
    <row r="15" spans="1:3" ht="15" thickBot="1" x14ac:dyDescent="0.35">
      <c r="A15" s="45" t="s">
        <v>126</v>
      </c>
      <c r="B15" s="108">
        <v>1000</v>
      </c>
    </row>
    <row r="17" spans="1:5" x14ac:dyDescent="0.3">
      <c r="E17" s="26"/>
    </row>
    <row r="18" spans="1:5" ht="15" thickBot="1" x14ac:dyDescent="0.35">
      <c r="A18" s="63" t="s">
        <v>353</v>
      </c>
      <c r="B18" s="68">
        <v>3930</v>
      </c>
      <c r="C18" s="18"/>
    </row>
    <row r="19" spans="1:5" x14ac:dyDescent="0.3">
      <c r="A19" s="64" t="s">
        <v>354</v>
      </c>
      <c r="B19" s="8">
        <f>80*4.5</f>
        <v>360</v>
      </c>
      <c r="C19" s="18"/>
    </row>
    <row r="20" spans="1:5" x14ac:dyDescent="0.3">
      <c r="A20" s="64" t="s">
        <v>355</v>
      </c>
      <c r="B20" s="69">
        <v>30</v>
      </c>
      <c r="C20" s="18" t="s">
        <v>356</v>
      </c>
    </row>
    <row r="21" spans="1:5" x14ac:dyDescent="0.3">
      <c r="A21" s="64" t="s">
        <v>357</v>
      </c>
      <c r="B21" s="69">
        <v>3500</v>
      </c>
      <c r="C21" s="18"/>
    </row>
    <row r="22" spans="1:5" ht="15" thickBot="1" x14ac:dyDescent="0.35">
      <c r="A22" s="64" t="s">
        <v>358</v>
      </c>
      <c r="B22" s="36" t="s">
        <v>359</v>
      </c>
      <c r="C22" s="18"/>
    </row>
    <row r="23" spans="1:5" x14ac:dyDescent="0.3">
      <c r="A23" s="18"/>
      <c r="B23" s="7"/>
      <c r="C23" s="18"/>
    </row>
    <row r="24" spans="1:5" ht="15" thickBot="1" x14ac:dyDescent="0.35">
      <c r="A24" s="63" t="s">
        <v>360</v>
      </c>
      <c r="B24" s="68">
        <f>1350+5850</f>
        <v>7200</v>
      </c>
      <c r="C24" s="18"/>
    </row>
    <row r="25" spans="1:5" x14ac:dyDescent="0.3">
      <c r="A25" s="64" t="s">
        <v>354</v>
      </c>
      <c r="B25" s="8">
        <f>300*4.5</f>
        <v>1350</v>
      </c>
      <c r="C25" s="18" t="s">
        <v>361</v>
      </c>
    </row>
    <row r="26" spans="1:5" x14ac:dyDescent="0.3">
      <c r="A26" s="64" t="s">
        <v>329</v>
      </c>
      <c r="B26" s="69" t="s">
        <v>362</v>
      </c>
      <c r="C26" s="18"/>
    </row>
    <row r="27" spans="1:5" x14ac:dyDescent="0.3">
      <c r="A27" s="64" t="s">
        <v>358</v>
      </c>
      <c r="B27" s="69" t="s">
        <v>359</v>
      </c>
      <c r="C27" s="18"/>
    </row>
    <row r="28" spans="1:5" ht="15" thickBot="1" x14ac:dyDescent="0.35">
      <c r="A28" s="50" t="s">
        <v>460</v>
      </c>
      <c r="B28" s="108">
        <f>5600+250</f>
        <v>5850</v>
      </c>
      <c r="C28" s="18"/>
    </row>
    <row r="30" spans="1:5" ht="15" thickBot="1" x14ac:dyDescent="0.35">
      <c r="A30" s="65" t="s">
        <v>328</v>
      </c>
      <c r="B30" s="11">
        <f>SUM(B31:B32)</f>
        <v>4850</v>
      </c>
      <c r="C30" s="18"/>
    </row>
    <row r="31" spans="1:5" x14ac:dyDescent="0.3">
      <c r="A31" s="66" t="s">
        <v>354</v>
      </c>
      <c r="B31" s="8">
        <f>300*4.5</f>
        <v>1350</v>
      </c>
      <c r="C31" s="18" t="s">
        <v>361</v>
      </c>
    </row>
    <row r="32" spans="1:5" x14ac:dyDescent="0.3">
      <c r="A32" s="66" t="s">
        <v>111</v>
      </c>
      <c r="B32" s="9">
        <v>3500</v>
      </c>
      <c r="C32" s="18"/>
    </row>
    <row r="33" spans="1:3" ht="15" thickBot="1" x14ac:dyDescent="0.35">
      <c r="A33" s="66" t="s">
        <v>358</v>
      </c>
      <c r="B33" s="10" t="s">
        <v>359</v>
      </c>
      <c r="C33" s="18"/>
    </row>
    <row r="35" spans="1:3" x14ac:dyDescent="0.3">
      <c r="A35" s="1" t="s">
        <v>365</v>
      </c>
    </row>
    <row r="36" spans="1:3" x14ac:dyDescent="0.3">
      <c r="A36" s="18" t="s">
        <v>8</v>
      </c>
    </row>
    <row r="37" spans="1:3" x14ac:dyDescent="0.3">
      <c r="A37" s="18" t="s">
        <v>366</v>
      </c>
    </row>
    <row r="38" spans="1:3" x14ac:dyDescent="0.3">
      <c r="A38" s="18" t="s">
        <v>367</v>
      </c>
    </row>
    <row r="39" spans="1:3" x14ac:dyDescent="0.3">
      <c r="A39" s="18" t="s">
        <v>18</v>
      </c>
    </row>
    <row r="40" spans="1:3" x14ac:dyDescent="0.3">
      <c r="A40" s="18" t="s">
        <v>368</v>
      </c>
    </row>
    <row r="41" spans="1:3" x14ac:dyDescent="0.3">
      <c r="A41" s="18" t="s">
        <v>23</v>
      </c>
    </row>
    <row r="42" spans="1:3" x14ac:dyDescent="0.3">
      <c r="A42" s="18" t="s">
        <v>369</v>
      </c>
    </row>
    <row r="43" spans="1:3" x14ac:dyDescent="0.3">
      <c r="A43" t="s">
        <v>25</v>
      </c>
    </row>
    <row r="44" spans="1:3" x14ac:dyDescent="0.3">
      <c r="A44" t="s">
        <v>370</v>
      </c>
    </row>
    <row r="45" spans="1:3" x14ac:dyDescent="0.3">
      <c r="A45" t="s">
        <v>32</v>
      </c>
    </row>
    <row r="46" spans="1:3" x14ac:dyDescent="0.3">
      <c r="A46" t="s">
        <v>461</v>
      </c>
    </row>
    <row r="47" spans="1:3" x14ac:dyDescent="0.3">
      <c r="A47" t="s">
        <v>464</v>
      </c>
    </row>
    <row r="48" spans="1:3" x14ac:dyDescent="0.3">
      <c r="A48" t="s">
        <v>463</v>
      </c>
    </row>
    <row r="49" spans="1:1" x14ac:dyDescent="0.3">
      <c r="A49" t="s">
        <v>462</v>
      </c>
    </row>
    <row r="50" spans="1:1" x14ac:dyDescent="0.3">
      <c r="A50" t="s">
        <v>465</v>
      </c>
    </row>
    <row r="51" spans="1:1" x14ac:dyDescent="0.3">
      <c r="A51" t="s">
        <v>469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F28" sqref="F28"/>
    </sheetView>
  </sheetViews>
  <sheetFormatPr defaultRowHeight="14.4" x14ac:dyDescent="0.3"/>
  <cols>
    <col min="1" max="1" width="27.109375" bestFit="1" customWidth="1"/>
    <col min="2" max="2" width="11.44140625" bestFit="1" customWidth="1"/>
  </cols>
  <sheetData>
    <row r="1" spans="1:2" x14ac:dyDescent="0.3">
      <c r="A1" s="1" t="s">
        <v>418</v>
      </c>
    </row>
    <row r="2" spans="1:2" ht="15" thickBot="1" x14ac:dyDescent="0.35">
      <c r="A2" t="s">
        <v>408</v>
      </c>
    </row>
    <row r="3" spans="1:2" ht="15" thickBot="1" x14ac:dyDescent="0.35">
      <c r="A3" s="120" t="s">
        <v>136</v>
      </c>
      <c r="B3" s="122">
        <f>B4</f>
        <v>19860</v>
      </c>
    </row>
    <row r="4" spans="1:2" ht="15" thickBot="1" x14ac:dyDescent="0.35">
      <c r="A4" s="1" t="s">
        <v>2</v>
      </c>
      <c r="B4" s="11">
        <f>SUM(B5:B6)</f>
        <v>19860</v>
      </c>
    </row>
    <row r="5" spans="1:2" x14ac:dyDescent="0.3">
      <c r="A5" t="s">
        <v>423</v>
      </c>
      <c r="B5" s="8">
        <f>(1400*4)+(2750*2)</f>
        <v>11100</v>
      </c>
    </row>
    <row r="6" spans="1:2" ht="15" thickBot="1" x14ac:dyDescent="0.35">
      <c r="A6" t="s">
        <v>428</v>
      </c>
      <c r="B6" s="10">
        <f>(55*40)+(820*8)</f>
        <v>8760</v>
      </c>
    </row>
    <row r="7" spans="1:2" x14ac:dyDescent="0.3">
      <c r="B7" s="11"/>
    </row>
    <row r="9" spans="1:2" x14ac:dyDescent="0.3">
      <c r="A9" s="1" t="s">
        <v>8</v>
      </c>
    </row>
    <row r="10" spans="1:2" x14ac:dyDescent="0.3">
      <c r="A10" t="s">
        <v>9</v>
      </c>
    </row>
    <row r="11" spans="1:2" x14ac:dyDescent="0.3">
      <c r="A11" t="s">
        <v>424</v>
      </c>
      <c r="B11" t="s">
        <v>425</v>
      </c>
    </row>
    <row r="12" spans="1:2" x14ac:dyDescent="0.3">
      <c r="A12" t="s">
        <v>426</v>
      </c>
      <c r="B12" t="s">
        <v>427</v>
      </c>
    </row>
    <row r="14" spans="1:2" x14ac:dyDescent="0.3">
      <c r="A14" t="s">
        <v>18</v>
      </c>
    </row>
    <row r="15" spans="1:2" x14ac:dyDescent="0.3">
      <c r="A15" t="s">
        <v>429</v>
      </c>
      <c r="B15" t="s">
        <v>430</v>
      </c>
    </row>
    <row r="16" spans="1:2" x14ac:dyDescent="0.3">
      <c r="A16" t="s">
        <v>431</v>
      </c>
      <c r="B16" t="s">
        <v>432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29" sqref="A29"/>
    </sheetView>
  </sheetViews>
  <sheetFormatPr defaultRowHeight="14.4" x14ac:dyDescent="0.3"/>
  <cols>
    <col min="1" max="1" width="27.109375" bestFit="1" customWidth="1"/>
    <col min="2" max="2" width="11.6640625" bestFit="1" customWidth="1"/>
  </cols>
  <sheetData>
    <row r="1" spans="1:2" x14ac:dyDescent="0.3">
      <c r="A1" s="1" t="s">
        <v>409</v>
      </c>
    </row>
    <row r="2" spans="1:2" ht="15" thickBot="1" x14ac:dyDescent="0.35">
      <c r="A2" t="s">
        <v>410</v>
      </c>
    </row>
    <row r="3" spans="1:2" ht="15" thickBot="1" x14ac:dyDescent="0.35">
      <c r="A3" s="120" t="s">
        <v>136</v>
      </c>
      <c r="B3" s="122">
        <f>B4</f>
        <v>8220</v>
      </c>
    </row>
    <row r="4" spans="1:2" ht="15" thickBot="1" x14ac:dyDescent="0.35">
      <c r="A4" s="1" t="s">
        <v>2</v>
      </c>
      <c r="B4" s="11">
        <f>SUM(B5:B7)</f>
        <v>8220</v>
      </c>
    </row>
    <row r="5" spans="1:2" x14ac:dyDescent="0.3">
      <c r="A5" t="s">
        <v>411</v>
      </c>
      <c r="B5" s="8">
        <v>5000</v>
      </c>
    </row>
    <row r="6" spans="1:2" x14ac:dyDescent="0.3">
      <c r="A6" t="s">
        <v>412</v>
      </c>
      <c r="B6" s="9">
        <f>1800 + 420</f>
        <v>2220</v>
      </c>
    </row>
    <row r="7" spans="1:2" ht="15" thickBot="1" x14ac:dyDescent="0.35">
      <c r="A7" t="s">
        <v>5</v>
      </c>
      <c r="B7" s="10">
        <v>1000</v>
      </c>
    </row>
    <row r="9" spans="1:2" x14ac:dyDescent="0.3">
      <c r="A9" s="1" t="s">
        <v>8</v>
      </c>
    </row>
    <row r="10" spans="1:2" x14ac:dyDescent="0.3">
      <c r="A10" t="s">
        <v>9</v>
      </c>
    </row>
    <row r="11" spans="1:2" x14ac:dyDescent="0.3">
      <c r="A11" t="s">
        <v>413</v>
      </c>
      <c r="B11" t="s">
        <v>414</v>
      </c>
    </row>
    <row r="12" spans="1:2" x14ac:dyDescent="0.3">
      <c r="A12" t="s">
        <v>111</v>
      </c>
      <c r="B12" t="s">
        <v>329</v>
      </c>
    </row>
    <row r="13" spans="1:2" x14ac:dyDescent="0.3">
      <c r="A13" t="s">
        <v>183</v>
      </c>
      <c r="B13" t="s">
        <v>415</v>
      </c>
    </row>
    <row r="14" spans="1:2" x14ac:dyDescent="0.3">
      <c r="A14" t="s">
        <v>416</v>
      </c>
      <c r="B14">
        <v>1800</v>
      </c>
    </row>
    <row r="15" spans="1:2" x14ac:dyDescent="0.3">
      <c r="A15" t="s">
        <v>417</v>
      </c>
      <c r="B15">
        <v>420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B18" sqref="B18"/>
    </sheetView>
  </sheetViews>
  <sheetFormatPr defaultRowHeight="14.4" x14ac:dyDescent="0.3"/>
  <cols>
    <col min="1" max="1" width="36.109375" bestFit="1" customWidth="1"/>
    <col min="2" max="2" width="11.33203125" bestFit="1" customWidth="1"/>
    <col min="3" max="3" width="10.33203125" bestFit="1" customWidth="1"/>
  </cols>
  <sheetData>
    <row r="1" spans="1:3" x14ac:dyDescent="0.3">
      <c r="A1" s="1" t="s">
        <v>0</v>
      </c>
    </row>
    <row r="2" spans="1:3" ht="15" thickBot="1" x14ac:dyDescent="0.35">
      <c r="A2" t="s">
        <v>1</v>
      </c>
    </row>
    <row r="3" spans="1:3" ht="15" thickBot="1" x14ac:dyDescent="0.35">
      <c r="A3" s="120" t="s">
        <v>136</v>
      </c>
      <c r="B3" s="122">
        <f>B4</f>
        <v>24350</v>
      </c>
    </row>
    <row r="4" spans="1:3" ht="15" thickBot="1" x14ac:dyDescent="0.35">
      <c r="A4" s="2" t="s">
        <v>2</v>
      </c>
      <c r="B4" s="11">
        <f>SUM(B5:B10)</f>
        <v>24350</v>
      </c>
    </row>
    <row r="5" spans="1:3" x14ac:dyDescent="0.3">
      <c r="A5" s="3" t="s">
        <v>3</v>
      </c>
      <c r="B5" s="8">
        <f>1870*3</f>
        <v>5610</v>
      </c>
    </row>
    <row r="6" spans="1:3" x14ac:dyDescent="0.3">
      <c r="A6" t="s">
        <v>4</v>
      </c>
      <c r="B6" s="9">
        <f>8*(40*4.5)</f>
        <v>1440</v>
      </c>
    </row>
    <row r="7" spans="1:3" x14ac:dyDescent="0.3">
      <c r="A7" t="s">
        <v>5</v>
      </c>
      <c r="B7" s="9">
        <v>1000</v>
      </c>
    </row>
    <row r="8" spans="1:3" x14ac:dyDescent="0.3">
      <c r="A8" t="s">
        <v>6</v>
      </c>
      <c r="B8" s="9">
        <f>5*400</f>
        <v>2000</v>
      </c>
      <c r="C8" s="114"/>
    </row>
    <row r="9" spans="1:3" x14ac:dyDescent="0.3">
      <c r="A9" t="s">
        <v>7</v>
      </c>
      <c r="B9" s="9">
        <f>(16*400)+(400*3)+(800*3)</f>
        <v>10000</v>
      </c>
    </row>
    <row r="10" spans="1:3" ht="15" thickBot="1" x14ac:dyDescent="0.35">
      <c r="A10" t="s">
        <v>33</v>
      </c>
      <c r="B10" s="10">
        <v>4300</v>
      </c>
    </row>
    <row r="12" spans="1:3" x14ac:dyDescent="0.3">
      <c r="A12" s="1" t="s">
        <v>8</v>
      </c>
    </row>
    <row r="13" spans="1:3" x14ac:dyDescent="0.3">
      <c r="A13" t="s">
        <v>9</v>
      </c>
    </row>
    <row r="14" spans="1:3" x14ac:dyDescent="0.3">
      <c r="A14" t="s">
        <v>10</v>
      </c>
    </row>
    <row r="15" spans="1:3" x14ac:dyDescent="0.3">
      <c r="A15" t="s">
        <v>11</v>
      </c>
    </row>
    <row r="16" spans="1:3" x14ac:dyDescent="0.3">
      <c r="A16" s="1" t="s">
        <v>12</v>
      </c>
    </row>
    <row r="17" spans="1:1" x14ac:dyDescent="0.3">
      <c r="A17" t="s">
        <v>13</v>
      </c>
    </row>
    <row r="18" spans="1:1" x14ac:dyDescent="0.3">
      <c r="A18" t="s">
        <v>14</v>
      </c>
    </row>
    <row r="19" spans="1:1" x14ac:dyDescent="0.3">
      <c r="A19" t="s">
        <v>15</v>
      </c>
    </row>
    <row r="20" spans="1:1" x14ac:dyDescent="0.3">
      <c r="A20" t="s">
        <v>16</v>
      </c>
    </row>
    <row r="21" spans="1:1" x14ac:dyDescent="0.3">
      <c r="A21" t="s">
        <v>17</v>
      </c>
    </row>
    <row r="23" spans="1:1" x14ac:dyDescent="0.3">
      <c r="A23" t="s">
        <v>18</v>
      </c>
    </row>
    <row r="24" spans="1:1" x14ac:dyDescent="0.3">
      <c r="A24" t="s">
        <v>19</v>
      </c>
    </row>
    <row r="25" spans="1:1" x14ac:dyDescent="0.3">
      <c r="A25" t="s">
        <v>20</v>
      </c>
    </row>
    <row r="26" spans="1:1" x14ac:dyDescent="0.3">
      <c r="A26" t="s">
        <v>21</v>
      </c>
    </row>
    <row r="27" spans="1:1" x14ac:dyDescent="0.3">
      <c r="A27" t="s">
        <v>22</v>
      </c>
    </row>
    <row r="29" spans="1:1" x14ac:dyDescent="0.3">
      <c r="A29" t="s">
        <v>23</v>
      </c>
    </row>
    <row r="30" spans="1:1" x14ac:dyDescent="0.3">
      <c r="A30" t="s">
        <v>459</v>
      </c>
    </row>
    <row r="31" spans="1:1" x14ac:dyDescent="0.3">
      <c r="A31" t="s">
        <v>24</v>
      </c>
    </row>
    <row r="33" spans="1:2" x14ac:dyDescent="0.3">
      <c r="A33" t="s">
        <v>25</v>
      </c>
    </row>
    <row r="34" spans="1:2" x14ac:dyDescent="0.3">
      <c r="A34" t="s">
        <v>26</v>
      </c>
      <c r="B34" t="s">
        <v>27</v>
      </c>
    </row>
    <row r="35" spans="1:2" x14ac:dyDescent="0.3">
      <c r="A35" t="s">
        <v>28</v>
      </c>
      <c r="B35" t="s">
        <v>29</v>
      </c>
    </row>
    <row r="36" spans="1:2" x14ac:dyDescent="0.3">
      <c r="A36" t="s">
        <v>30</v>
      </c>
      <c r="B36" t="s">
        <v>31</v>
      </c>
    </row>
    <row r="38" spans="1:2" x14ac:dyDescent="0.3">
      <c r="A38" t="s">
        <v>32</v>
      </c>
    </row>
    <row r="39" spans="1:2" x14ac:dyDescent="0.3">
      <c r="A39" t="s">
        <v>34</v>
      </c>
    </row>
    <row r="40" spans="1:2" x14ac:dyDescent="0.3">
      <c r="A40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workbookViewId="0">
      <selection activeCell="D1" sqref="D1:D7"/>
    </sheetView>
  </sheetViews>
  <sheetFormatPr defaultRowHeight="14.4" x14ac:dyDescent="0.3"/>
  <cols>
    <col min="1" max="1" width="20.77734375" bestFit="1" customWidth="1"/>
    <col min="2" max="2" width="11.44140625" bestFit="1" customWidth="1"/>
  </cols>
  <sheetData>
    <row r="1" spans="1:4" x14ac:dyDescent="0.3">
      <c r="A1" s="1" t="s">
        <v>69</v>
      </c>
      <c r="D1" s="1"/>
    </row>
    <row r="2" spans="1:4" ht="15" thickBot="1" x14ac:dyDescent="0.35">
      <c r="A2" t="s">
        <v>70</v>
      </c>
    </row>
    <row r="3" spans="1:4" ht="15" thickBot="1" x14ac:dyDescent="0.35">
      <c r="A3" s="120" t="s">
        <v>136</v>
      </c>
      <c r="B3" s="118">
        <f>B4</f>
        <v>33447</v>
      </c>
    </row>
    <row r="4" spans="1:4" ht="15" thickBot="1" x14ac:dyDescent="0.35">
      <c r="A4" s="1" t="s">
        <v>2</v>
      </c>
      <c r="B4" s="11">
        <f>SUM(B6:B10)</f>
        <v>33447</v>
      </c>
    </row>
    <row r="5" spans="1:4" x14ac:dyDescent="0.3">
      <c r="A5" t="s">
        <v>36</v>
      </c>
      <c r="B5" s="8">
        <f>(50*23)+(24*120)+800+1500</f>
        <v>6330</v>
      </c>
    </row>
    <row r="6" spans="1:4" x14ac:dyDescent="0.3">
      <c r="A6" t="s">
        <v>36</v>
      </c>
      <c r="B6" s="9">
        <f>(6330*1.05)+0.5</f>
        <v>6647</v>
      </c>
    </row>
    <row r="7" spans="1:4" x14ac:dyDescent="0.3">
      <c r="A7" t="s">
        <v>39</v>
      </c>
      <c r="B7" s="62">
        <v>3000</v>
      </c>
    </row>
    <row r="8" spans="1:4" x14ac:dyDescent="0.3">
      <c r="A8" t="s">
        <v>40</v>
      </c>
      <c r="B8" s="9">
        <f>SUM(B24,B32,B41)</f>
        <v>13200</v>
      </c>
    </row>
    <row r="9" spans="1:4" x14ac:dyDescent="0.3">
      <c r="A9" t="s">
        <v>41</v>
      </c>
      <c r="B9" s="62">
        <v>4000</v>
      </c>
    </row>
    <row r="10" spans="1:4" x14ac:dyDescent="0.3">
      <c r="A10" t="s">
        <v>42</v>
      </c>
      <c r="B10" s="9">
        <v>6600</v>
      </c>
    </row>
    <row r="11" spans="1:4" ht="15" thickBot="1" x14ac:dyDescent="0.35">
      <c r="A11" t="s">
        <v>444</v>
      </c>
      <c r="B11" s="108">
        <v>1000</v>
      </c>
      <c r="D11" s="26"/>
    </row>
    <row r="13" spans="1:4" x14ac:dyDescent="0.3">
      <c r="A13" s="1" t="s">
        <v>8</v>
      </c>
    </row>
    <row r="14" spans="1:4" x14ac:dyDescent="0.3">
      <c r="A14" t="s">
        <v>9</v>
      </c>
    </row>
    <row r="15" spans="1:4" x14ac:dyDescent="0.3">
      <c r="A15" s="1" t="s">
        <v>37</v>
      </c>
    </row>
    <row r="16" spans="1:4" x14ac:dyDescent="0.3">
      <c r="A16" t="s">
        <v>43</v>
      </c>
    </row>
    <row r="17" spans="1:2" x14ac:dyDescent="0.3">
      <c r="A17" t="s">
        <v>44</v>
      </c>
    </row>
    <row r="18" spans="1:2" x14ac:dyDescent="0.3">
      <c r="A18" t="s">
        <v>45</v>
      </c>
    </row>
    <row r="19" spans="1:2" x14ac:dyDescent="0.3">
      <c r="A19" t="s">
        <v>46</v>
      </c>
    </row>
    <row r="20" spans="1:2" x14ac:dyDescent="0.3">
      <c r="A20" s="1" t="s">
        <v>38</v>
      </c>
    </row>
    <row r="21" spans="1:2" x14ac:dyDescent="0.3">
      <c r="A21" t="s">
        <v>47</v>
      </c>
    </row>
    <row r="23" spans="1:2" x14ac:dyDescent="0.3">
      <c r="A23" t="s">
        <v>18</v>
      </c>
    </row>
    <row r="24" spans="1:2" ht="15" thickBot="1" x14ac:dyDescent="0.35">
      <c r="A24" s="1" t="s">
        <v>48</v>
      </c>
      <c r="B24">
        <v>3200</v>
      </c>
    </row>
    <row r="25" spans="1:2" x14ac:dyDescent="0.3">
      <c r="A25" t="s">
        <v>49</v>
      </c>
      <c r="B25" s="4" t="s">
        <v>50</v>
      </c>
    </row>
    <row r="26" spans="1:2" x14ac:dyDescent="0.3">
      <c r="A26" t="s">
        <v>51</v>
      </c>
      <c r="B26" s="5" t="s">
        <v>52</v>
      </c>
    </row>
    <row r="27" spans="1:2" x14ac:dyDescent="0.3">
      <c r="A27" t="s">
        <v>53</v>
      </c>
      <c r="B27" s="5" t="s">
        <v>54</v>
      </c>
    </row>
    <row r="28" spans="1:2" x14ac:dyDescent="0.3">
      <c r="A28" t="s">
        <v>55</v>
      </c>
      <c r="B28" s="5" t="s">
        <v>54</v>
      </c>
    </row>
    <row r="29" spans="1:2" x14ac:dyDescent="0.3">
      <c r="A29" t="s">
        <v>56</v>
      </c>
      <c r="B29" s="5" t="s">
        <v>54</v>
      </c>
    </row>
    <row r="30" spans="1:2" ht="15" thickBot="1" x14ac:dyDescent="0.35">
      <c r="A30" t="s">
        <v>57</v>
      </c>
      <c r="B30" s="12">
        <v>400</v>
      </c>
    </row>
    <row r="32" spans="1:2" ht="15" thickBot="1" x14ac:dyDescent="0.35">
      <c r="A32" s="1" t="s">
        <v>58</v>
      </c>
      <c r="B32">
        <f>3200+600+400+800</f>
        <v>5000</v>
      </c>
    </row>
    <row r="33" spans="1:2" x14ac:dyDescent="0.3">
      <c r="A33" t="s">
        <v>49</v>
      </c>
      <c r="B33" s="4" t="s">
        <v>50</v>
      </c>
    </row>
    <row r="34" spans="1:2" x14ac:dyDescent="0.3">
      <c r="A34" t="s">
        <v>51</v>
      </c>
      <c r="B34" s="5" t="s">
        <v>52</v>
      </c>
    </row>
    <row r="35" spans="1:2" x14ac:dyDescent="0.3">
      <c r="A35" t="s">
        <v>53</v>
      </c>
      <c r="B35" s="5" t="s">
        <v>54</v>
      </c>
    </row>
    <row r="36" spans="1:2" x14ac:dyDescent="0.3">
      <c r="A36" t="s">
        <v>55</v>
      </c>
      <c r="B36" s="5" t="s">
        <v>54</v>
      </c>
    </row>
    <row r="37" spans="1:2" x14ac:dyDescent="0.3">
      <c r="A37" t="s">
        <v>59</v>
      </c>
      <c r="B37" s="5" t="s">
        <v>60</v>
      </c>
    </row>
    <row r="38" spans="1:2" x14ac:dyDescent="0.3">
      <c r="A38" t="s">
        <v>61</v>
      </c>
      <c r="B38" s="13">
        <v>600</v>
      </c>
    </row>
    <row r="39" spans="1:2" x14ac:dyDescent="0.3">
      <c r="A39" t="s">
        <v>57</v>
      </c>
      <c r="B39" s="13">
        <v>400</v>
      </c>
    </row>
    <row r="40" spans="1:2" ht="15" thickBot="1" x14ac:dyDescent="0.35">
      <c r="A40" t="s">
        <v>62</v>
      </c>
      <c r="B40" s="14" t="s">
        <v>60</v>
      </c>
    </row>
    <row r="41" spans="1:2" ht="15" thickBot="1" x14ac:dyDescent="0.35">
      <c r="A41" s="1" t="s">
        <v>63</v>
      </c>
      <c r="B41">
        <f>(400*4)+800+800+600+400+800</f>
        <v>5000</v>
      </c>
    </row>
    <row r="42" spans="1:2" x14ac:dyDescent="0.3">
      <c r="A42" t="s">
        <v>49</v>
      </c>
      <c r="B42" s="4" t="s">
        <v>50</v>
      </c>
    </row>
    <row r="43" spans="1:2" x14ac:dyDescent="0.3">
      <c r="A43" t="s">
        <v>51</v>
      </c>
      <c r="B43" s="5" t="s">
        <v>52</v>
      </c>
    </row>
    <row r="44" spans="1:2" x14ac:dyDescent="0.3">
      <c r="A44" t="s">
        <v>59</v>
      </c>
      <c r="B44" s="5" t="s">
        <v>60</v>
      </c>
    </row>
    <row r="45" spans="1:2" x14ac:dyDescent="0.3">
      <c r="A45" t="s">
        <v>64</v>
      </c>
      <c r="B45" s="5" t="s">
        <v>54</v>
      </c>
    </row>
    <row r="46" spans="1:2" x14ac:dyDescent="0.3">
      <c r="A46" t="s">
        <v>55</v>
      </c>
      <c r="B46" s="5" t="s">
        <v>54</v>
      </c>
    </row>
    <row r="47" spans="1:2" x14ac:dyDescent="0.3">
      <c r="A47" t="s">
        <v>61</v>
      </c>
      <c r="B47" s="13">
        <v>600</v>
      </c>
    </row>
    <row r="48" spans="1:2" x14ac:dyDescent="0.3">
      <c r="A48" t="s">
        <v>57</v>
      </c>
      <c r="B48" s="13">
        <v>400</v>
      </c>
    </row>
    <row r="49" spans="1:2" ht="15" thickBot="1" x14ac:dyDescent="0.35">
      <c r="A49" t="s">
        <v>62</v>
      </c>
      <c r="B49" s="14" t="s">
        <v>60</v>
      </c>
    </row>
    <row r="50" spans="1:2" x14ac:dyDescent="0.3">
      <c r="A50" t="s">
        <v>23</v>
      </c>
    </row>
    <row r="51" spans="1:2" x14ac:dyDescent="0.3">
      <c r="A51" t="s">
        <v>65</v>
      </c>
    </row>
    <row r="52" spans="1:2" x14ac:dyDescent="0.3">
      <c r="A52" t="s">
        <v>66</v>
      </c>
    </row>
    <row r="53" spans="1:2" x14ac:dyDescent="0.3">
      <c r="A53" t="s">
        <v>67</v>
      </c>
    </row>
    <row r="54" spans="1:2" x14ac:dyDescent="0.3">
      <c r="A54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workbookViewId="0">
      <selection activeCell="B32" sqref="B32"/>
    </sheetView>
  </sheetViews>
  <sheetFormatPr defaultRowHeight="14.4" x14ac:dyDescent="0.3"/>
  <cols>
    <col min="1" max="1" width="62.21875" bestFit="1" customWidth="1"/>
    <col min="2" max="4" width="10" bestFit="1" customWidth="1"/>
    <col min="9" max="9" width="28.77734375" bestFit="1" customWidth="1"/>
  </cols>
  <sheetData>
    <row r="1" spans="1:12" x14ac:dyDescent="0.3">
      <c r="A1" s="1" t="s">
        <v>404</v>
      </c>
    </row>
    <row r="2" spans="1:12" ht="15" thickBot="1" x14ac:dyDescent="0.35">
      <c r="A2" t="s">
        <v>405</v>
      </c>
      <c r="I2" s="95"/>
    </row>
    <row r="3" spans="1:12" ht="13.8" customHeight="1" thickBot="1" x14ac:dyDescent="0.35">
      <c r="A3" s="120" t="s">
        <v>136</v>
      </c>
      <c r="B3" s="121">
        <f>B4</f>
        <v>47530</v>
      </c>
      <c r="I3" s="71"/>
      <c r="J3" s="45"/>
      <c r="K3" s="45"/>
      <c r="L3" s="45"/>
    </row>
    <row r="4" spans="1:12" ht="15" thickBot="1" x14ac:dyDescent="0.35">
      <c r="A4" s="2" t="s">
        <v>2</v>
      </c>
      <c r="B4" s="109">
        <f>SUM(D6:D38)</f>
        <v>47530</v>
      </c>
      <c r="C4" s="28"/>
      <c r="D4" s="70"/>
      <c r="E4" s="70"/>
      <c r="F4" s="70"/>
      <c r="G4" s="70"/>
      <c r="I4" s="82"/>
      <c r="J4" s="45"/>
      <c r="K4" s="78"/>
      <c r="L4" s="78"/>
    </row>
    <row r="5" spans="1:12" ht="28.8" customHeight="1" thickBot="1" x14ac:dyDescent="0.35">
      <c r="A5" s="71" t="s">
        <v>371</v>
      </c>
      <c r="B5" s="29" t="s">
        <v>403</v>
      </c>
      <c r="C5" s="29" t="s">
        <v>407</v>
      </c>
      <c r="D5" s="107" t="s">
        <v>103</v>
      </c>
      <c r="E5" s="72"/>
      <c r="F5" s="72"/>
      <c r="G5" s="72"/>
      <c r="I5" s="82"/>
      <c r="J5" s="45"/>
      <c r="K5" s="78"/>
      <c r="L5" s="78"/>
    </row>
    <row r="6" spans="1:12" x14ac:dyDescent="0.3">
      <c r="A6" s="82" t="s">
        <v>372</v>
      </c>
      <c r="B6" s="96">
        <v>1</v>
      </c>
      <c r="C6" s="97">
        <v>10000</v>
      </c>
      <c r="D6" s="73">
        <f>B6*C6</f>
        <v>10000</v>
      </c>
      <c r="E6" s="75"/>
      <c r="F6" s="89"/>
      <c r="G6" s="89"/>
      <c r="I6" s="82"/>
      <c r="J6" s="45"/>
      <c r="K6" s="78"/>
      <c r="L6" s="78"/>
    </row>
    <row r="7" spans="1:12" x14ac:dyDescent="0.3">
      <c r="A7" s="74" t="s">
        <v>373</v>
      </c>
      <c r="B7" s="98">
        <v>1</v>
      </c>
      <c r="C7" s="99">
        <v>5610</v>
      </c>
      <c r="D7" s="75">
        <v>5610</v>
      </c>
      <c r="E7" s="90"/>
      <c r="F7" s="91"/>
      <c r="G7" s="91"/>
      <c r="I7" s="82"/>
      <c r="J7" s="45"/>
      <c r="K7" s="78"/>
      <c r="L7" s="78"/>
    </row>
    <row r="8" spans="1:12" x14ac:dyDescent="0.3">
      <c r="A8" s="74" t="s">
        <v>374</v>
      </c>
      <c r="B8" s="98">
        <v>18</v>
      </c>
      <c r="C8" s="100">
        <v>200</v>
      </c>
      <c r="D8" s="73">
        <v>3600</v>
      </c>
      <c r="E8" s="75"/>
      <c r="F8" s="89"/>
      <c r="G8" s="89"/>
      <c r="I8" s="82"/>
      <c r="J8" s="45"/>
      <c r="K8" s="78"/>
      <c r="L8" s="78"/>
    </row>
    <row r="9" spans="1:12" x14ac:dyDescent="0.3">
      <c r="A9" s="82" t="s">
        <v>454</v>
      </c>
      <c r="B9" s="110">
        <v>1</v>
      </c>
      <c r="C9" s="103">
        <v>550</v>
      </c>
      <c r="D9" s="7">
        <v>550</v>
      </c>
      <c r="F9" s="70"/>
      <c r="G9" s="70"/>
      <c r="I9" s="82"/>
      <c r="J9" s="45"/>
      <c r="K9" s="78"/>
      <c r="L9" s="78"/>
    </row>
    <row r="10" spans="1:12" x14ac:dyDescent="0.3">
      <c r="A10" s="76" t="s">
        <v>375</v>
      </c>
      <c r="B10" s="98"/>
      <c r="C10" s="101"/>
      <c r="D10" s="77"/>
      <c r="E10" s="77"/>
      <c r="F10" s="45"/>
      <c r="G10" s="72"/>
    </row>
    <row r="11" spans="1:12" x14ac:dyDescent="0.3">
      <c r="A11" s="71" t="s">
        <v>376</v>
      </c>
      <c r="B11" s="102"/>
      <c r="C11" s="103"/>
      <c r="D11" s="78"/>
      <c r="E11" s="78"/>
      <c r="F11" s="91"/>
      <c r="G11" s="91"/>
    </row>
    <row r="12" spans="1:12" x14ac:dyDescent="0.3">
      <c r="A12" s="79" t="s">
        <v>377</v>
      </c>
      <c r="B12" s="104">
        <v>20</v>
      </c>
      <c r="C12" s="100">
        <v>450</v>
      </c>
      <c r="D12" s="73">
        <f>B12*C12</f>
        <v>9000</v>
      </c>
      <c r="E12" s="92"/>
      <c r="F12" s="45"/>
      <c r="G12" s="72"/>
    </row>
    <row r="13" spans="1:12" x14ac:dyDescent="0.3">
      <c r="A13" s="71" t="s">
        <v>378</v>
      </c>
      <c r="B13" s="102"/>
      <c r="C13" s="103"/>
      <c r="D13" s="78"/>
      <c r="E13" s="78"/>
      <c r="F13" s="28"/>
      <c r="G13" s="70"/>
    </row>
    <row r="14" spans="1:12" x14ac:dyDescent="0.3">
      <c r="A14" s="28" t="s">
        <v>379</v>
      </c>
      <c r="B14" s="104">
        <v>5</v>
      </c>
      <c r="C14" s="100">
        <v>20</v>
      </c>
      <c r="D14" s="73">
        <f>B14*C14</f>
        <v>100</v>
      </c>
      <c r="E14" s="73"/>
      <c r="F14" s="91"/>
      <c r="G14" s="91"/>
    </row>
    <row r="15" spans="1:12" x14ac:dyDescent="0.3">
      <c r="A15" s="28" t="s">
        <v>380</v>
      </c>
      <c r="B15" s="104">
        <v>2</v>
      </c>
      <c r="C15" s="100">
        <v>250</v>
      </c>
      <c r="D15" s="73">
        <f>C15*B15</f>
        <v>500</v>
      </c>
      <c r="E15" s="92"/>
      <c r="F15" s="45"/>
      <c r="G15" s="72"/>
    </row>
    <row r="16" spans="1:12" x14ac:dyDescent="0.3">
      <c r="A16" s="80"/>
      <c r="B16" s="102"/>
      <c r="C16" s="103"/>
      <c r="D16" s="78"/>
      <c r="E16" s="78"/>
      <c r="F16" s="72"/>
      <c r="G16" s="72"/>
    </row>
    <row r="17" spans="1:7" x14ac:dyDescent="0.3">
      <c r="A17" s="71" t="s">
        <v>381</v>
      </c>
      <c r="B17" s="102"/>
      <c r="C17" s="103"/>
      <c r="D17" s="78"/>
      <c r="E17" s="78"/>
      <c r="F17" s="94"/>
      <c r="G17" s="94"/>
    </row>
    <row r="18" spans="1:7" x14ac:dyDescent="0.3">
      <c r="A18" s="45" t="s">
        <v>382</v>
      </c>
      <c r="B18" s="102">
        <v>2</v>
      </c>
      <c r="C18" s="103">
        <v>1000</v>
      </c>
      <c r="D18" s="78">
        <v>2000</v>
      </c>
      <c r="E18" s="93"/>
      <c r="F18" s="94"/>
      <c r="G18" s="94"/>
    </row>
    <row r="19" spans="1:7" x14ac:dyDescent="0.3">
      <c r="A19" s="45" t="s">
        <v>383</v>
      </c>
      <c r="B19" s="102">
        <v>2</v>
      </c>
      <c r="C19" s="103">
        <v>500</v>
      </c>
      <c r="D19" s="78">
        <v>1000</v>
      </c>
      <c r="E19" s="93"/>
      <c r="F19" s="94"/>
      <c r="G19" s="94"/>
    </row>
    <row r="20" spans="1:7" x14ac:dyDescent="0.3">
      <c r="A20" s="45" t="s">
        <v>384</v>
      </c>
      <c r="B20" s="102">
        <v>2</v>
      </c>
      <c r="C20" s="103">
        <v>250</v>
      </c>
      <c r="D20" s="78">
        <v>500</v>
      </c>
      <c r="E20" s="93"/>
      <c r="F20" s="72"/>
      <c r="G20" s="72"/>
    </row>
    <row r="21" spans="1:7" x14ac:dyDescent="0.3">
      <c r="A21" s="71" t="s">
        <v>385</v>
      </c>
      <c r="B21" s="102"/>
      <c r="C21" s="103"/>
      <c r="D21" s="78"/>
      <c r="E21" s="78"/>
      <c r="F21" s="45"/>
      <c r="G21" s="45"/>
    </row>
    <row r="22" spans="1:7" x14ac:dyDescent="0.3">
      <c r="A22" s="45" t="s">
        <v>386</v>
      </c>
      <c r="B22" s="102">
        <v>1</v>
      </c>
      <c r="C22" s="103">
        <v>3000</v>
      </c>
      <c r="D22" s="81">
        <f>B22*C22</f>
        <v>3000</v>
      </c>
      <c r="E22" s="78"/>
      <c r="F22" s="94"/>
      <c r="G22" s="94"/>
    </row>
    <row r="23" spans="1:7" ht="14.4" customHeight="1" x14ac:dyDescent="0.3">
      <c r="A23" s="45" t="s">
        <v>387</v>
      </c>
      <c r="B23" s="102">
        <v>20</v>
      </c>
      <c r="C23" s="103">
        <v>200</v>
      </c>
      <c r="D23" s="78">
        <f>C23*B23</f>
        <v>4000</v>
      </c>
      <c r="E23" s="93"/>
      <c r="F23" s="45"/>
      <c r="G23" s="45"/>
    </row>
    <row r="24" spans="1:7" ht="15" customHeight="1" x14ac:dyDescent="0.3">
      <c r="A24" s="83" t="s">
        <v>388</v>
      </c>
      <c r="B24" s="102"/>
      <c r="C24" s="103"/>
      <c r="D24" s="78"/>
      <c r="E24" s="45"/>
      <c r="F24" s="45"/>
      <c r="G24" s="45"/>
    </row>
    <row r="25" spans="1:7" ht="16.8" customHeight="1" x14ac:dyDescent="0.3">
      <c r="A25" s="45" t="s">
        <v>389</v>
      </c>
      <c r="B25" s="102">
        <v>1</v>
      </c>
      <c r="C25" s="103">
        <v>800</v>
      </c>
      <c r="D25" s="78">
        <f>B25*C25</f>
        <v>800</v>
      </c>
      <c r="E25" s="45"/>
      <c r="F25" s="88"/>
      <c r="G25" s="88"/>
    </row>
    <row r="26" spans="1:7" ht="13.8" customHeight="1" x14ac:dyDescent="0.3">
      <c r="A26" s="45" t="s">
        <v>390</v>
      </c>
      <c r="B26" s="102"/>
      <c r="C26" s="103"/>
      <c r="D26" s="78"/>
      <c r="E26" s="87"/>
      <c r="F26" s="85"/>
      <c r="G26" s="88"/>
    </row>
    <row r="27" spans="1:7" ht="16.8" customHeight="1" x14ac:dyDescent="0.3">
      <c r="A27" s="83" t="s">
        <v>391</v>
      </c>
      <c r="B27" s="102"/>
      <c r="C27" s="103"/>
      <c r="D27" s="78"/>
      <c r="E27" s="88"/>
      <c r="F27" s="85"/>
      <c r="G27" s="88"/>
    </row>
    <row r="28" spans="1:7" x14ac:dyDescent="0.3">
      <c r="A28" s="45" t="s">
        <v>392</v>
      </c>
      <c r="B28" s="102">
        <v>30</v>
      </c>
      <c r="C28" s="103">
        <v>26</v>
      </c>
      <c r="D28" s="78">
        <v>780</v>
      </c>
      <c r="E28" s="88"/>
      <c r="F28" s="85"/>
      <c r="G28" s="88"/>
    </row>
    <row r="29" spans="1:7" x14ac:dyDescent="0.3">
      <c r="A29" s="45" t="s">
        <v>393</v>
      </c>
      <c r="B29" s="102">
        <v>30</v>
      </c>
      <c r="C29" s="103">
        <v>20</v>
      </c>
      <c r="D29" s="78">
        <v>600</v>
      </c>
      <c r="E29" s="88"/>
      <c r="F29" s="85"/>
      <c r="G29" s="88"/>
    </row>
    <row r="30" spans="1:7" x14ac:dyDescent="0.3">
      <c r="A30" s="45" t="s">
        <v>394</v>
      </c>
      <c r="B30" s="102">
        <v>30</v>
      </c>
      <c r="C30" s="103">
        <v>15</v>
      </c>
      <c r="D30" s="78">
        <f t="shared" ref="D30:D31" si="0">C30*B30</f>
        <v>450</v>
      </c>
      <c r="E30" s="88"/>
      <c r="F30" s="88"/>
      <c r="G30" s="88"/>
    </row>
    <row r="31" spans="1:7" x14ac:dyDescent="0.3">
      <c r="A31" s="45" t="s">
        <v>395</v>
      </c>
      <c r="B31" s="102">
        <v>30</v>
      </c>
      <c r="C31" s="103">
        <v>18</v>
      </c>
      <c r="D31" s="78">
        <f t="shared" si="0"/>
        <v>540</v>
      </c>
      <c r="E31" s="88"/>
      <c r="F31" s="45"/>
      <c r="G31" s="45"/>
    </row>
    <row r="32" spans="1:7" x14ac:dyDescent="0.3">
      <c r="A32" s="45" t="s">
        <v>396</v>
      </c>
      <c r="B32" s="102">
        <v>30</v>
      </c>
      <c r="C32" s="103">
        <v>20</v>
      </c>
      <c r="D32" s="78">
        <v>600</v>
      </c>
      <c r="E32" s="78"/>
      <c r="F32" s="45"/>
      <c r="G32" s="45"/>
    </row>
    <row r="33" spans="1:7" x14ac:dyDescent="0.3">
      <c r="A33" s="83" t="s">
        <v>397</v>
      </c>
      <c r="B33" s="102"/>
      <c r="C33" s="103"/>
      <c r="D33" s="78"/>
      <c r="E33" s="84"/>
      <c r="F33" s="45"/>
      <c r="G33" s="45"/>
    </row>
    <row r="34" spans="1:7" x14ac:dyDescent="0.3">
      <c r="A34" s="45" t="s">
        <v>398</v>
      </c>
      <c r="B34" s="102">
        <v>2</v>
      </c>
      <c r="C34" s="103">
        <v>450</v>
      </c>
      <c r="D34" s="78">
        <v>900</v>
      </c>
      <c r="E34" s="78"/>
      <c r="F34" s="45"/>
      <c r="G34" s="45"/>
    </row>
    <row r="35" spans="1:7" x14ac:dyDescent="0.3">
      <c r="A35" s="45" t="s">
        <v>399</v>
      </c>
      <c r="B35" s="102">
        <v>2</v>
      </c>
      <c r="C35" s="103">
        <v>200</v>
      </c>
      <c r="D35" s="78">
        <v>400</v>
      </c>
      <c r="E35" s="78"/>
      <c r="F35" s="45"/>
      <c r="G35" s="45"/>
    </row>
    <row r="36" spans="1:7" x14ac:dyDescent="0.3">
      <c r="A36" s="45" t="s">
        <v>400</v>
      </c>
      <c r="B36" s="102">
        <v>10</v>
      </c>
      <c r="C36" s="103">
        <v>50</v>
      </c>
      <c r="D36" s="78">
        <v>500</v>
      </c>
      <c r="E36" s="78"/>
      <c r="F36" s="45"/>
      <c r="G36" s="45"/>
    </row>
    <row r="37" spans="1:7" x14ac:dyDescent="0.3">
      <c r="A37" s="83" t="s">
        <v>401</v>
      </c>
      <c r="B37" s="102"/>
      <c r="C37" s="103"/>
      <c r="D37" s="78"/>
      <c r="E37" s="78"/>
      <c r="F37" s="45"/>
      <c r="G37" s="45"/>
    </row>
    <row r="38" spans="1:7" ht="15" thickBot="1" x14ac:dyDescent="0.35">
      <c r="A38" s="45" t="s">
        <v>402</v>
      </c>
      <c r="B38" s="105">
        <v>70</v>
      </c>
      <c r="C38" s="106">
        <v>30</v>
      </c>
      <c r="D38" s="78">
        <f>C38*B38</f>
        <v>2100</v>
      </c>
      <c r="E38" s="78"/>
      <c r="F38" s="45"/>
      <c r="G38" s="45"/>
    </row>
    <row r="39" spans="1:7" x14ac:dyDescent="0.3">
      <c r="A39" s="85"/>
      <c r="B39" s="85"/>
      <c r="C39" s="85"/>
      <c r="D39" s="78"/>
      <c r="E39" s="78"/>
      <c r="F39" s="45"/>
      <c r="G39" s="45"/>
    </row>
    <row r="40" spans="1:7" x14ac:dyDescent="0.3">
      <c r="A40" s="2" t="s">
        <v>8</v>
      </c>
      <c r="D40" s="26"/>
      <c r="E40" s="78"/>
      <c r="F40" s="45"/>
      <c r="G40" s="45"/>
    </row>
    <row r="41" spans="1:7" x14ac:dyDescent="0.3">
      <c r="A41" s="26" t="s">
        <v>9</v>
      </c>
      <c r="D41" s="26"/>
      <c r="E41" s="78"/>
      <c r="F41" s="45"/>
      <c r="G41" s="45"/>
    </row>
    <row r="42" spans="1:7" x14ac:dyDescent="0.3">
      <c r="A42" s="26" t="s">
        <v>10</v>
      </c>
      <c r="D42" s="26"/>
      <c r="E42" s="78"/>
      <c r="F42" s="45"/>
      <c r="G42" s="45"/>
    </row>
    <row r="43" spans="1:7" x14ac:dyDescent="0.3">
      <c r="A43" s="26" t="s">
        <v>11</v>
      </c>
      <c r="D43" s="26"/>
      <c r="E43" s="78"/>
      <c r="F43" s="45"/>
      <c r="G43" s="45"/>
    </row>
    <row r="44" spans="1:7" x14ac:dyDescent="0.3">
      <c r="A44" s="2" t="s">
        <v>12</v>
      </c>
      <c r="D44" s="26"/>
      <c r="E44" s="78"/>
      <c r="F44" s="45"/>
      <c r="G44" s="45"/>
    </row>
    <row r="45" spans="1:7" x14ac:dyDescent="0.3">
      <c r="A45" s="26" t="s">
        <v>13</v>
      </c>
      <c r="D45" s="26"/>
      <c r="E45" s="78"/>
      <c r="F45" s="94"/>
      <c r="G45" s="94"/>
    </row>
    <row r="46" spans="1:7" x14ac:dyDescent="0.3">
      <c r="A46" s="26" t="s">
        <v>14</v>
      </c>
      <c r="D46" s="26"/>
      <c r="E46" s="93"/>
      <c r="F46" s="45"/>
      <c r="G46" s="45"/>
    </row>
    <row r="47" spans="1:7" x14ac:dyDescent="0.3">
      <c r="A47" s="26" t="s">
        <v>15</v>
      </c>
      <c r="D47" s="26"/>
      <c r="E47" s="78"/>
      <c r="F47" s="86"/>
      <c r="G47" s="86"/>
    </row>
    <row r="48" spans="1:7" x14ac:dyDescent="0.3">
      <c r="A48" s="26" t="s">
        <v>16</v>
      </c>
      <c r="B48" s="86"/>
      <c r="C48" s="86"/>
      <c r="D48" s="86"/>
      <c r="E48" s="86"/>
      <c r="F48" s="86"/>
      <c r="G48" s="86"/>
    </row>
    <row r="49" spans="1:7" x14ac:dyDescent="0.3">
      <c r="A49" s="26" t="s">
        <v>406</v>
      </c>
      <c r="B49" s="86"/>
      <c r="C49" s="86"/>
      <c r="D49" s="86"/>
      <c r="E49" s="86"/>
      <c r="F49" s="86"/>
      <c r="G49" s="86"/>
    </row>
    <row r="50" spans="1:7" x14ac:dyDescent="0.3">
      <c r="A50" s="18"/>
      <c r="B50" s="86"/>
      <c r="C50" s="86"/>
      <c r="D50" s="86"/>
      <c r="E50" s="86"/>
      <c r="F50" s="86"/>
      <c r="G50" s="86"/>
    </row>
    <row r="51" spans="1:7" x14ac:dyDescent="0.3">
      <c r="B51" s="86"/>
      <c r="C51" s="86"/>
      <c r="D51" s="86"/>
      <c r="E51" s="86"/>
      <c r="F51" s="86"/>
      <c r="G51" s="86"/>
    </row>
    <row r="52" spans="1:7" x14ac:dyDescent="0.3">
      <c r="B52" s="86"/>
      <c r="C52" s="86"/>
      <c r="D52" s="86"/>
      <c r="E52" s="86"/>
      <c r="F52" s="86"/>
      <c r="G52" s="86"/>
    </row>
    <row r="53" spans="1:7" x14ac:dyDescent="0.3">
      <c r="B53" s="86"/>
      <c r="C53" s="86"/>
      <c r="D53" s="86"/>
      <c r="E53" s="86"/>
      <c r="F53" s="86"/>
      <c r="G53" s="86"/>
    </row>
    <row r="54" spans="1:7" x14ac:dyDescent="0.3">
      <c r="B54" s="86"/>
      <c r="C54" s="86"/>
      <c r="D54" s="86"/>
      <c r="E54" s="86"/>
      <c r="F54" s="86"/>
      <c r="G54" s="86"/>
    </row>
    <row r="55" spans="1:7" x14ac:dyDescent="0.3">
      <c r="B55" s="86"/>
      <c r="C55" s="86"/>
      <c r="D55" s="86"/>
      <c r="E55" s="86"/>
      <c r="F55" s="86"/>
      <c r="G55" s="86"/>
    </row>
    <row r="56" spans="1:7" x14ac:dyDescent="0.3">
      <c r="B56" s="86"/>
      <c r="C56" s="86"/>
      <c r="D56" s="86"/>
      <c r="E56" s="86"/>
      <c r="F56" s="86"/>
      <c r="G56" s="86"/>
    </row>
    <row r="57" spans="1:7" x14ac:dyDescent="0.3">
      <c r="B57" s="86"/>
      <c r="C57" s="86"/>
      <c r="D57" s="86"/>
      <c r="E57" s="86"/>
      <c r="F57" s="18"/>
      <c r="G57" s="18"/>
    </row>
    <row r="58" spans="1:7" x14ac:dyDescent="0.3">
      <c r="B58" s="18"/>
      <c r="C58" s="18"/>
      <c r="D58" s="26"/>
      <c r="E58" s="18"/>
    </row>
    <row r="59" spans="1:7" x14ac:dyDescent="0.3">
      <c r="D59" s="26"/>
    </row>
    <row r="60" spans="1:7" x14ac:dyDescent="0.3">
      <c r="D60" s="26"/>
    </row>
    <row r="61" spans="1:7" x14ac:dyDescent="0.3">
      <c r="D61" s="26"/>
    </row>
    <row r="62" spans="1:7" x14ac:dyDescent="0.3">
      <c r="D62" s="26"/>
    </row>
    <row r="63" spans="1:7" x14ac:dyDescent="0.3">
      <c r="D63" s="26"/>
    </row>
    <row r="64" spans="1:7" x14ac:dyDescent="0.3">
      <c r="D64" s="26"/>
    </row>
    <row r="65" spans="4:4" x14ac:dyDescent="0.3">
      <c r="D65" s="26"/>
    </row>
    <row r="66" spans="4:4" x14ac:dyDescent="0.3">
      <c r="D66" s="26"/>
    </row>
    <row r="67" spans="4:4" x14ac:dyDescent="0.3">
      <c r="D67" s="26"/>
    </row>
    <row r="68" spans="4:4" x14ac:dyDescent="0.3">
      <c r="D68" s="26"/>
    </row>
    <row r="69" spans="4:4" x14ac:dyDescent="0.3">
      <c r="D69" s="26"/>
    </row>
    <row r="70" spans="4:4" x14ac:dyDescent="0.3">
      <c r="D70" s="26"/>
    </row>
    <row r="71" spans="4:4" x14ac:dyDescent="0.3">
      <c r="D71" s="26"/>
    </row>
    <row r="72" spans="4:4" x14ac:dyDescent="0.3">
      <c r="D72" s="26"/>
    </row>
    <row r="73" spans="4:4" x14ac:dyDescent="0.3">
      <c r="D73" s="26"/>
    </row>
    <row r="74" spans="4:4" x14ac:dyDescent="0.3">
      <c r="D74" s="26"/>
    </row>
    <row r="75" spans="4:4" x14ac:dyDescent="0.3">
      <c r="D75" s="26"/>
    </row>
    <row r="76" spans="4:4" x14ac:dyDescent="0.3">
      <c r="D76" s="26"/>
    </row>
    <row r="77" spans="4:4" x14ac:dyDescent="0.3">
      <c r="D77" s="26"/>
    </row>
    <row r="78" spans="4:4" x14ac:dyDescent="0.3">
      <c r="D78" s="26"/>
    </row>
    <row r="79" spans="4:4" x14ac:dyDescent="0.3">
      <c r="D79" s="26"/>
    </row>
    <row r="80" spans="4:4" x14ac:dyDescent="0.3">
      <c r="D80" s="26"/>
    </row>
    <row r="81" spans="4:4" x14ac:dyDescent="0.3">
      <c r="D81" s="26"/>
    </row>
    <row r="82" spans="4:4" x14ac:dyDescent="0.3">
      <c r="D82" s="26"/>
    </row>
    <row r="83" spans="4:4" x14ac:dyDescent="0.3">
      <c r="D83" s="26"/>
    </row>
    <row r="84" spans="4:4" x14ac:dyDescent="0.3">
      <c r="D84" s="26"/>
    </row>
    <row r="85" spans="4:4" x14ac:dyDescent="0.3">
      <c r="D85" s="26"/>
    </row>
    <row r="86" spans="4:4" x14ac:dyDescent="0.3">
      <c r="D86" s="26"/>
    </row>
    <row r="87" spans="4:4" x14ac:dyDescent="0.3">
      <c r="D87" s="26"/>
    </row>
    <row r="88" spans="4:4" x14ac:dyDescent="0.3">
      <c r="D88" s="26"/>
    </row>
    <row r="89" spans="4:4" x14ac:dyDescent="0.3">
      <c r="D89" s="26"/>
    </row>
    <row r="90" spans="4:4" x14ac:dyDescent="0.3">
      <c r="D90" s="26"/>
    </row>
    <row r="91" spans="4:4" x14ac:dyDescent="0.3">
      <c r="D91" s="26"/>
    </row>
    <row r="92" spans="4:4" x14ac:dyDescent="0.3">
      <c r="D92" s="26"/>
    </row>
    <row r="93" spans="4:4" x14ac:dyDescent="0.3">
      <c r="D93" s="26"/>
    </row>
    <row r="94" spans="4:4" x14ac:dyDescent="0.3">
      <c r="D94" s="26"/>
    </row>
    <row r="95" spans="4:4" x14ac:dyDescent="0.3">
      <c r="D95" s="26"/>
    </row>
    <row r="96" spans="4:4" x14ac:dyDescent="0.3">
      <c r="D96" s="26"/>
    </row>
    <row r="97" spans="4:4" x14ac:dyDescent="0.3">
      <c r="D97" s="26"/>
    </row>
    <row r="98" spans="4:4" x14ac:dyDescent="0.3">
      <c r="D98" s="26"/>
    </row>
    <row r="99" spans="4:4" x14ac:dyDescent="0.3">
      <c r="D99" s="26"/>
    </row>
    <row r="100" spans="4:4" x14ac:dyDescent="0.3">
      <c r="D100" s="26"/>
    </row>
    <row r="101" spans="4:4" x14ac:dyDescent="0.3">
      <c r="D101" s="26"/>
    </row>
    <row r="102" spans="4:4" x14ac:dyDescent="0.3">
      <c r="D102" s="26"/>
    </row>
    <row r="103" spans="4:4" x14ac:dyDescent="0.3">
      <c r="D103" s="26"/>
    </row>
    <row r="104" spans="4:4" x14ac:dyDescent="0.3">
      <c r="D104" s="26"/>
    </row>
    <row r="105" spans="4:4" x14ac:dyDescent="0.3">
      <c r="D105" s="26"/>
    </row>
    <row r="106" spans="4:4" x14ac:dyDescent="0.3">
      <c r="D106" s="26"/>
    </row>
    <row r="107" spans="4:4" x14ac:dyDescent="0.3">
      <c r="D107" s="26"/>
    </row>
    <row r="108" spans="4:4" x14ac:dyDescent="0.3">
      <c r="D108" s="26"/>
    </row>
    <row r="109" spans="4:4" x14ac:dyDescent="0.3">
      <c r="D109" s="26"/>
    </row>
    <row r="110" spans="4:4" x14ac:dyDescent="0.3">
      <c r="D110" s="26"/>
    </row>
    <row r="111" spans="4:4" x14ac:dyDescent="0.3">
      <c r="D111" s="26"/>
    </row>
    <row r="112" spans="4:4" x14ac:dyDescent="0.3">
      <c r="D112" s="26"/>
    </row>
    <row r="113" spans="4:4" x14ac:dyDescent="0.3">
      <c r="D113" s="26"/>
    </row>
    <row r="114" spans="4:4" x14ac:dyDescent="0.3">
      <c r="D114" s="26"/>
    </row>
    <row r="115" spans="4:4" x14ac:dyDescent="0.3">
      <c r="D115" s="26"/>
    </row>
    <row r="116" spans="4:4" x14ac:dyDescent="0.3">
      <c r="D116" s="26"/>
    </row>
    <row r="117" spans="4:4" x14ac:dyDescent="0.3">
      <c r="D117" s="26"/>
    </row>
    <row r="118" spans="4:4" x14ac:dyDescent="0.3">
      <c r="D118" s="26"/>
    </row>
    <row r="119" spans="4:4" x14ac:dyDescent="0.3">
      <c r="D119" s="26"/>
    </row>
    <row r="120" spans="4:4" x14ac:dyDescent="0.3">
      <c r="D120" s="26"/>
    </row>
    <row r="121" spans="4:4" x14ac:dyDescent="0.3">
      <c r="D121" s="26"/>
    </row>
    <row r="122" spans="4:4" x14ac:dyDescent="0.3">
      <c r="D122" s="26"/>
    </row>
    <row r="123" spans="4:4" x14ac:dyDescent="0.3">
      <c r="D123" s="26"/>
    </row>
    <row r="124" spans="4:4" x14ac:dyDescent="0.3">
      <c r="D124" s="26"/>
    </row>
    <row r="125" spans="4:4" x14ac:dyDescent="0.3">
      <c r="D125" s="26"/>
    </row>
    <row r="126" spans="4:4" x14ac:dyDescent="0.3">
      <c r="D126" s="26"/>
    </row>
    <row r="127" spans="4:4" x14ac:dyDescent="0.3">
      <c r="D127" s="26"/>
    </row>
    <row r="128" spans="4:4" x14ac:dyDescent="0.3">
      <c r="D128" s="26"/>
    </row>
    <row r="129" spans="4:4" x14ac:dyDescent="0.3">
      <c r="D129" s="26"/>
    </row>
    <row r="130" spans="4:4" x14ac:dyDescent="0.3">
      <c r="D130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D18" sqref="D18"/>
    </sheetView>
  </sheetViews>
  <sheetFormatPr defaultRowHeight="14.4" x14ac:dyDescent="0.3"/>
  <cols>
    <col min="1" max="1" width="36" bestFit="1" customWidth="1"/>
    <col min="2" max="2" width="16.44140625" bestFit="1" customWidth="1"/>
  </cols>
  <sheetData>
    <row r="1" spans="1:2" x14ac:dyDescent="0.3">
      <c r="A1" s="1" t="s">
        <v>434</v>
      </c>
    </row>
    <row r="2" spans="1:2" ht="15" thickBot="1" x14ac:dyDescent="0.35">
      <c r="A2" s="15" t="s">
        <v>435</v>
      </c>
    </row>
    <row r="3" spans="1:2" ht="15" thickBot="1" x14ac:dyDescent="0.35">
      <c r="A3" s="120" t="s">
        <v>136</v>
      </c>
      <c r="B3" s="122">
        <f>B4</f>
        <v>2200</v>
      </c>
    </row>
    <row r="4" spans="1:2" ht="15" thickBot="1" x14ac:dyDescent="0.35">
      <c r="A4" s="1" t="s">
        <v>2</v>
      </c>
      <c r="B4" s="11">
        <v>2200</v>
      </c>
    </row>
    <row r="5" spans="1:2" x14ac:dyDescent="0.3">
      <c r="A5" t="s">
        <v>436</v>
      </c>
      <c r="B5" s="4" t="s">
        <v>437</v>
      </c>
    </row>
    <row r="6" spans="1:2" ht="15" thickBot="1" x14ac:dyDescent="0.35">
      <c r="A6" t="s">
        <v>438</v>
      </c>
      <c r="B6" s="10">
        <f>550*2*2</f>
        <v>2200</v>
      </c>
    </row>
    <row r="8" spans="1:2" x14ac:dyDescent="0.3">
      <c r="A8" s="1" t="s">
        <v>8</v>
      </c>
    </row>
    <row r="9" spans="1:2" x14ac:dyDescent="0.3">
      <c r="A9" t="s">
        <v>9</v>
      </c>
    </row>
    <row r="10" spans="1:2" x14ac:dyDescent="0.3">
      <c r="A10" t="s">
        <v>439</v>
      </c>
    </row>
    <row r="11" spans="1:2" x14ac:dyDescent="0.3">
      <c r="A11" t="s">
        <v>442</v>
      </c>
    </row>
    <row r="12" spans="1:2" x14ac:dyDescent="0.3">
      <c r="A12" t="s">
        <v>440</v>
      </c>
      <c r="B12" t="s">
        <v>443</v>
      </c>
    </row>
    <row r="13" spans="1:2" x14ac:dyDescent="0.3">
      <c r="A13" t="s">
        <v>441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B3" sqref="B3"/>
    </sheetView>
  </sheetViews>
  <sheetFormatPr defaultRowHeight="14.4" x14ac:dyDescent="0.3"/>
  <cols>
    <col min="1" max="1" width="60" bestFit="1" customWidth="1"/>
    <col min="2" max="2" width="10.44140625" bestFit="1" customWidth="1"/>
  </cols>
  <sheetData>
    <row r="1" spans="1:2" x14ac:dyDescent="0.3">
      <c r="A1" s="1" t="s">
        <v>74</v>
      </c>
    </row>
    <row r="2" spans="1:2" ht="15" thickBot="1" x14ac:dyDescent="0.35">
      <c r="A2" t="s">
        <v>71</v>
      </c>
    </row>
    <row r="3" spans="1:2" ht="15" thickBot="1" x14ac:dyDescent="0.35">
      <c r="A3" s="120" t="s">
        <v>136</v>
      </c>
      <c r="B3" s="122">
        <f>B4</f>
        <v>6500</v>
      </c>
    </row>
    <row r="4" spans="1:2" ht="15" thickBot="1" x14ac:dyDescent="0.35">
      <c r="A4" s="1" t="s">
        <v>2</v>
      </c>
      <c r="B4" s="11">
        <f>SUM(B5:B7)</f>
        <v>6500</v>
      </c>
    </row>
    <row r="5" spans="1:2" x14ac:dyDescent="0.3">
      <c r="A5" t="s">
        <v>5</v>
      </c>
      <c r="B5" s="8">
        <v>1000</v>
      </c>
    </row>
    <row r="6" spans="1:2" x14ac:dyDescent="0.3">
      <c r="A6" t="s">
        <v>72</v>
      </c>
      <c r="B6" s="9">
        <v>2500</v>
      </c>
    </row>
    <row r="7" spans="1:2" ht="15" thickBot="1" x14ac:dyDescent="0.35">
      <c r="A7" t="s">
        <v>73</v>
      </c>
      <c r="B7" s="10">
        <v>3000</v>
      </c>
    </row>
    <row r="9" spans="1:2" x14ac:dyDescent="0.3">
      <c r="A9" s="1" t="s">
        <v>8</v>
      </c>
    </row>
    <row r="10" spans="1:2" x14ac:dyDescent="0.3">
      <c r="A10" t="s">
        <v>9</v>
      </c>
    </row>
    <row r="11" spans="1:2" x14ac:dyDescent="0.3">
      <c r="A11" t="s">
        <v>75</v>
      </c>
    </row>
    <row r="12" spans="1:2" x14ac:dyDescent="0.3">
      <c r="A12" t="s">
        <v>76</v>
      </c>
    </row>
    <row r="13" spans="1:2" x14ac:dyDescent="0.3">
      <c r="A13" t="s">
        <v>77</v>
      </c>
    </row>
    <row r="14" spans="1:2" x14ac:dyDescent="0.3">
      <c r="A14" t="s">
        <v>79</v>
      </c>
    </row>
    <row r="15" spans="1:2" x14ac:dyDescent="0.3">
      <c r="A15" t="s">
        <v>78</v>
      </c>
    </row>
    <row r="16" spans="1:2" x14ac:dyDescent="0.3">
      <c r="A16" t="s">
        <v>80</v>
      </c>
    </row>
    <row r="17" spans="1:1" x14ac:dyDescent="0.3">
      <c r="A17" t="s">
        <v>82</v>
      </c>
    </row>
    <row r="18" spans="1:1" x14ac:dyDescent="0.3">
      <c r="A18" t="s">
        <v>81</v>
      </c>
    </row>
    <row r="19" spans="1:1" x14ac:dyDescent="0.3">
      <c r="A19" t="s">
        <v>419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>
      <selection activeCell="C17" sqref="C17"/>
    </sheetView>
  </sheetViews>
  <sheetFormatPr defaultRowHeight="14.4" x14ac:dyDescent="0.3"/>
  <cols>
    <col min="1" max="1" width="53.21875" bestFit="1" customWidth="1"/>
    <col min="2" max="2" width="11.33203125" bestFit="1" customWidth="1"/>
    <col min="3" max="3" width="12.109375" bestFit="1" customWidth="1"/>
  </cols>
  <sheetData>
    <row r="1" spans="1:3" x14ac:dyDescent="0.3">
      <c r="A1" s="1" t="s">
        <v>83</v>
      </c>
    </row>
    <row r="2" spans="1:3" x14ac:dyDescent="0.3">
      <c r="A2" s="15" t="s">
        <v>88</v>
      </c>
    </row>
    <row r="3" spans="1:3" ht="15" thickBot="1" x14ac:dyDescent="0.35"/>
    <row r="4" spans="1:3" ht="15" thickBot="1" x14ac:dyDescent="0.35">
      <c r="A4" s="120" t="s">
        <v>136</v>
      </c>
      <c r="B4" s="122">
        <f>B5</f>
        <v>13000</v>
      </c>
    </row>
    <row r="5" spans="1:3" ht="15" thickBot="1" x14ac:dyDescent="0.35">
      <c r="A5" s="1" t="s">
        <v>2</v>
      </c>
      <c r="B5" s="17">
        <f>SUM(B6:B8,B11:B14)</f>
        <v>13000</v>
      </c>
    </row>
    <row r="6" spans="1:3" x14ac:dyDescent="0.3">
      <c r="A6" s="15" t="s">
        <v>5</v>
      </c>
      <c r="B6" s="8">
        <v>1000</v>
      </c>
    </row>
    <row r="7" spans="1:3" ht="15" thickBot="1" x14ac:dyDescent="0.35">
      <c r="A7" s="15" t="s">
        <v>84</v>
      </c>
      <c r="B7" s="10">
        <f>(900*40)/3</f>
        <v>12000</v>
      </c>
      <c r="C7" s="112"/>
    </row>
    <row r="9" spans="1:3" x14ac:dyDescent="0.3">
      <c r="A9" s="1" t="s">
        <v>8</v>
      </c>
      <c r="B9" s="7"/>
    </row>
    <row r="10" spans="1:3" x14ac:dyDescent="0.3">
      <c r="A10" t="s">
        <v>9</v>
      </c>
      <c r="B10" s="111"/>
      <c r="C10" s="26"/>
    </row>
    <row r="11" spans="1:3" x14ac:dyDescent="0.3">
      <c r="A11" t="s">
        <v>89</v>
      </c>
      <c r="B11" s="111"/>
      <c r="C11" s="26"/>
    </row>
    <row r="12" spans="1:3" x14ac:dyDescent="0.3">
      <c r="A12" t="s">
        <v>90</v>
      </c>
      <c r="B12" s="111"/>
      <c r="C12" s="26"/>
    </row>
    <row r="13" spans="1:3" x14ac:dyDescent="0.3">
      <c r="B13" s="111"/>
      <c r="C13" s="26"/>
    </row>
    <row r="14" spans="1:3" x14ac:dyDescent="0.3">
      <c r="B14" s="111"/>
      <c r="C14" s="126"/>
    </row>
    <row r="15" spans="1:3" x14ac:dyDescent="0.3">
      <c r="A15" s="26"/>
      <c r="B15" s="26"/>
      <c r="C15" s="26"/>
    </row>
    <row r="36" spans="1:1" x14ac:dyDescent="0.3">
      <c r="A3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workbookViewId="0">
      <selection activeCell="B6" sqref="B6"/>
    </sheetView>
  </sheetViews>
  <sheetFormatPr defaultRowHeight="14.4" x14ac:dyDescent="0.3"/>
  <cols>
    <col min="1" max="1" width="32.6640625" bestFit="1" customWidth="1"/>
    <col min="2" max="2" width="12.33203125" bestFit="1" customWidth="1"/>
    <col min="3" max="3" width="55.44140625" bestFit="1" customWidth="1"/>
    <col min="4" max="4" width="19.44140625" bestFit="1" customWidth="1"/>
    <col min="5" max="5" width="10.21875" bestFit="1" customWidth="1"/>
    <col min="6" max="6" width="15.21875" bestFit="1" customWidth="1"/>
  </cols>
  <sheetData>
    <row r="1" spans="1:8" x14ac:dyDescent="0.3">
      <c r="A1" s="1" t="s">
        <v>91</v>
      </c>
    </row>
    <row r="2" spans="1:8" x14ac:dyDescent="0.3">
      <c r="A2" t="s">
        <v>92</v>
      </c>
    </row>
    <row r="3" spans="1:8" x14ac:dyDescent="0.3">
      <c r="A3" s="26"/>
      <c r="B3" s="26"/>
      <c r="C3" s="26"/>
    </row>
    <row r="4" spans="1:8" ht="15" thickBot="1" x14ac:dyDescent="0.35">
      <c r="A4" s="1" t="s">
        <v>109</v>
      </c>
      <c r="B4" s="32">
        <f>-(B7-B10-B17)</f>
        <v>88090</v>
      </c>
      <c r="C4" s="24"/>
      <c r="D4" s="18"/>
      <c r="E4" s="18"/>
      <c r="F4" s="18"/>
      <c r="G4" s="18"/>
      <c r="H4" s="18"/>
    </row>
    <row r="5" spans="1:8" ht="15" thickBot="1" x14ac:dyDescent="0.35">
      <c r="A5" s="120" t="s">
        <v>136</v>
      </c>
      <c r="B5" s="128">
        <f>B4</f>
        <v>88090</v>
      </c>
      <c r="C5" s="127" t="s">
        <v>486</v>
      </c>
      <c r="D5" s="18"/>
      <c r="E5" s="18"/>
      <c r="F5" s="18"/>
      <c r="G5" s="18"/>
      <c r="H5" s="18"/>
    </row>
    <row r="6" spans="1:8" x14ac:dyDescent="0.3">
      <c r="D6" s="26"/>
      <c r="E6" s="18"/>
      <c r="F6" s="18"/>
      <c r="G6" s="18"/>
      <c r="H6" s="18"/>
    </row>
    <row r="7" spans="1:8" ht="15" thickBot="1" x14ac:dyDescent="0.35">
      <c r="A7" s="2" t="s">
        <v>93</v>
      </c>
      <c r="B7" s="30">
        <v>30000</v>
      </c>
      <c r="C7" s="18"/>
      <c r="D7" s="18"/>
      <c r="E7" s="18"/>
      <c r="F7" s="18"/>
      <c r="G7" s="18"/>
      <c r="H7" s="18"/>
    </row>
    <row r="8" spans="1:8" ht="15" thickBot="1" x14ac:dyDescent="0.35">
      <c r="A8" s="26" t="s">
        <v>94</v>
      </c>
      <c r="B8" s="19">
        <v>30000</v>
      </c>
      <c r="C8" s="18"/>
      <c r="H8" s="18"/>
    </row>
    <row r="9" spans="1:8" x14ac:dyDescent="0.3">
      <c r="D9" s="26"/>
      <c r="E9" s="18"/>
      <c r="F9" s="18"/>
      <c r="G9" s="18"/>
      <c r="H9" s="18"/>
    </row>
    <row r="10" spans="1:8" ht="15" thickBot="1" x14ac:dyDescent="0.35">
      <c r="A10" s="2" t="s">
        <v>112</v>
      </c>
      <c r="B10" s="115">
        <f>SUM(B11:B16)</f>
        <v>85690</v>
      </c>
      <c r="C10" s="26"/>
      <c r="D10" s="26"/>
      <c r="E10" s="18"/>
      <c r="F10" s="18"/>
      <c r="G10" s="18"/>
      <c r="H10" s="18"/>
    </row>
    <row r="11" spans="1:8" x14ac:dyDescent="0.3">
      <c r="A11" s="24" t="s">
        <v>95</v>
      </c>
      <c r="B11" s="116">
        <v>45000</v>
      </c>
      <c r="D11" s="26"/>
      <c r="E11" s="18"/>
      <c r="F11" s="18"/>
      <c r="G11" s="18"/>
      <c r="H11" s="18"/>
    </row>
    <row r="12" spans="1:8" x14ac:dyDescent="0.3">
      <c r="A12" s="24" t="s">
        <v>114</v>
      </c>
      <c r="B12" s="20">
        <v>9540</v>
      </c>
      <c r="C12" s="26"/>
      <c r="D12" s="26"/>
      <c r="E12" s="18"/>
      <c r="F12" s="18"/>
      <c r="G12" s="18"/>
      <c r="H12" s="18"/>
    </row>
    <row r="13" spans="1:8" x14ac:dyDescent="0.3">
      <c r="A13" s="24" t="s">
        <v>110</v>
      </c>
      <c r="B13" s="21">
        <v>9350</v>
      </c>
      <c r="C13" s="26"/>
      <c r="D13" s="26"/>
      <c r="E13" s="18"/>
      <c r="F13" s="18"/>
      <c r="G13" s="18"/>
      <c r="H13" s="18"/>
    </row>
    <row r="14" spans="1:8" x14ac:dyDescent="0.3">
      <c r="A14" s="24" t="s">
        <v>97</v>
      </c>
      <c r="B14" s="20">
        <v>800</v>
      </c>
      <c r="C14" s="26"/>
      <c r="D14" s="26"/>
      <c r="E14" s="18"/>
      <c r="F14" s="18"/>
      <c r="G14" s="18"/>
      <c r="H14" s="18"/>
    </row>
    <row r="15" spans="1:8" x14ac:dyDescent="0.3">
      <c r="A15" s="24" t="s">
        <v>98</v>
      </c>
      <c r="B15" s="20">
        <v>20000</v>
      </c>
      <c r="C15" s="26"/>
      <c r="D15" s="26"/>
      <c r="E15" s="18"/>
      <c r="F15" s="18"/>
      <c r="G15" s="18"/>
      <c r="H15" s="18"/>
    </row>
    <row r="16" spans="1:8" ht="15" thickBot="1" x14ac:dyDescent="0.35">
      <c r="A16" s="24" t="s">
        <v>5</v>
      </c>
      <c r="B16" s="33">
        <v>1000</v>
      </c>
      <c r="C16" s="31"/>
      <c r="D16" s="26"/>
      <c r="E16" s="18"/>
      <c r="F16" s="18"/>
      <c r="G16" s="18"/>
      <c r="H16" s="18"/>
    </row>
    <row r="17" spans="1:8" ht="15" thickBot="1" x14ac:dyDescent="0.35">
      <c r="A17" s="29" t="s">
        <v>99</v>
      </c>
      <c r="B17" s="30">
        <f>SUM(B18:B22)</f>
        <v>32400</v>
      </c>
      <c r="C17" s="26"/>
      <c r="D17" s="26"/>
      <c r="E17" s="18"/>
      <c r="F17" s="18"/>
      <c r="H17" s="18"/>
    </row>
    <row r="18" spans="1:8" x14ac:dyDescent="0.3">
      <c r="A18" s="24" t="s">
        <v>100</v>
      </c>
      <c r="B18" s="113">
        <f>6000*4</f>
        <v>24000</v>
      </c>
      <c r="C18" s="26"/>
      <c r="D18" s="26"/>
      <c r="E18" s="18"/>
      <c r="F18" s="18"/>
      <c r="H18" s="18"/>
    </row>
    <row r="19" spans="1:8" x14ac:dyDescent="0.3">
      <c r="A19" s="24" t="s">
        <v>101</v>
      </c>
      <c r="B19" s="21">
        <v>4000</v>
      </c>
      <c r="C19" s="26"/>
      <c r="D19" s="26"/>
      <c r="E19" s="18"/>
      <c r="F19" s="18"/>
      <c r="G19" s="18"/>
      <c r="H19" s="18"/>
    </row>
    <row r="20" spans="1:8" x14ac:dyDescent="0.3">
      <c r="A20" s="24" t="s">
        <v>104</v>
      </c>
      <c r="B20" s="23">
        <v>2000</v>
      </c>
      <c r="C20" s="26"/>
      <c r="D20" s="24"/>
      <c r="E20" s="3"/>
      <c r="F20" s="18"/>
      <c r="G20" s="18"/>
      <c r="H20" s="18"/>
    </row>
    <row r="21" spans="1:8" x14ac:dyDescent="0.3">
      <c r="A21" s="24" t="s">
        <v>106</v>
      </c>
      <c r="B21" s="21">
        <v>400</v>
      </c>
      <c r="C21" s="26"/>
      <c r="D21" s="24"/>
      <c r="E21" s="3"/>
      <c r="F21" s="18"/>
      <c r="G21" s="18"/>
      <c r="H21" s="18"/>
    </row>
    <row r="22" spans="1:8" ht="15" thickBot="1" x14ac:dyDescent="0.35">
      <c r="A22" s="24" t="s">
        <v>102</v>
      </c>
      <c r="B22" s="22">
        <v>2000</v>
      </c>
      <c r="C22" s="26"/>
      <c r="D22" s="24"/>
      <c r="E22" s="3"/>
      <c r="F22" s="18"/>
      <c r="G22" s="18"/>
      <c r="H22" s="18"/>
    </row>
    <row r="23" spans="1:8" x14ac:dyDescent="0.3">
      <c r="C23" s="26"/>
      <c r="D23" s="24"/>
      <c r="E23" s="3"/>
      <c r="F23" s="18"/>
      <c r="G23" s="18"/>
      <c r="H23" s="18"/>
    </row>
    <row r="24" spans="1:8" x14ac:dyDescent="0.3">
      <c r="A24" s="29" t="s">
        <v>8</v>
      </c>
      <c r="B24" s="25"/>
      <c r="C24" s="26"/>
      <c r="D24" s="26"/>
      <c r="E24" s="18"/>
      <c r="F24" s="18"/>
      <c r="G24" s="18"/>
      <c r="H24" s="18"/>
    </row>
    <row r="25" spans="1:8" x14ac:dyDescent="0.3">
      <c r="A25" s="24" t="s">
        <v>9</v>
      </c>
      <c r="B25" s="26"/>
      <c r="C25" s="26"/>
      <c r="D25" s="26"/>
      <c r="E25" s="18"/>
      <c r="F25" s="18"/>
      <c r="G25" s="18"/>
      <c r="H25" s="18"/>
    </row>
    <row r="26" spans="1:8" x14ac:dyDescent="0.3">
      <c r="A26" s="27" t="s">
        <v>113</v>
      </c>
      <c r="B26" s="26">
        <v>1200</v>
      </c>
      <c r="C26" s="26"/>
      <c r="D26" s="26"/>
      <c r="E26" s="18"/>
      <c r="F26" s="18"/>
      <c r="G26" s="18"/>
      <c r="H26" s="18"/>
    </row>
    <row r="27" spans="1:8" x14ac:dyDescent="0.3">
      <c r="A27" s="24" t="s">
        <v>105</v>
      </c>
      <c r="B27" s="26">
        <v>800</v>
      </c>
      <c r="C27" s="26"/>
      <c r="G27" s="18"/>
      <c r="H27" s="18"/>
    </row>
    <row r="28" spans="1:8" x14ac:dyDescent="0.3">
      <c r="A28" s="24" t="s">
        <v>18</v>
      </c>
      <c r="G28" s="18"/>
      <c r="H28" s="18"/>
    </row>
    <row r="29" spans="1:8" x14ac:dyDescent="0.3">
      <c r="A29" s="24" t="s">
        <v>107</v>
      </c>
      <c r="D29" s="26"/>
      <c r="E29" s="18"/>
      <c r="F29" s="18"/>
      <c r="G29" s="18"/>
      <c r="H29" s="18"/>
    </row>
    <row r="30" spans="1:8" x14ac:dyDescent="0.3">
      <c r="A30" s="24" t="s">
        <v>108</v>
      </c>
      <c r="B30" s="26"/>
      <c r="C30" s="26"/>
      <c r="D30" s="26"/>
      <c r="G30" s="18"/>
      <c r="H30" s="18"/>
    </row>
    <row r="31" spans="1:8" x14ac:dyDescent="0.3">
      <c r="A31" s="24" t="s">
        <v>23</v>
      </c>
      <c r="B31" s="26"/>
      <c r="C31" s="26"/>
      <c r="G31" s="18"/>
      <c r="H31" s="18"/>
    </row>
    <row r="32" spans="1:8" x14ac:dyDescent="0.3">
      <c r="A32" s="24" t="s">
        <v>420</v>
      </c>
      <c r="B32">
        <v>9090</v>
      </c>
      <c r="G32" s="18"/>
      <c r="H32" s="18"/>
    </row>
    <row r="33" spans="1:8" x14ac:dyDescent="0.3">
      <c r="A33" s="24" t="s">
        <v>421</v>
      </c>
      <c r="B33" t="s">
        <v>422</v>
      </c>
      <c r="G33" s="18"/>
      <c r="H33" s="18"/>
    </row>
    <row r="34" spans="1:8" x14ac:dyDescent="0.3">
      <c r="A34" s="24" t="s">
        <v>25</v>
      </c>
      <c r="G34" s="18"/>
      <c r="H34" s="18"/>
    </row>
    <row r="35" spans="1:8" x14ac:dyDescent="0.3">
      <c r="A35" s="24" t="s">
        <v>115</v>
      </c>
    </row>
    <row r="36" spans="1:8" x14ac:dyDescent="0.3">
      <c r="D36" s="26"/>
    </row>
    <row r="37" spans="1:8" x14ac:dyDescent="0.3">
      <c r="A37" s="26"/>
      <c r="B37" s="26"/>
      <c r="C37" s="26"/>
      <c r="D37" s="26"/>
    </row>
    <row r="38" spans="1:8" x14ac:dyDescent="0.3">
      <c r="A38" s="26"/>
      <c r="B38" s="26"/>
      <c r="C38" s="26"/>
      <c r="D38" s="26"/>
    </row>
    <row r="39" spans="1:8" x14ac:dyDescent="0.3">
      <c r="A39" s="26"/>
      <c r="B39" s="26"/>
      <c r="C39" s="26"/>
      <c r="D39" s="26"/>
    </row>
    <row r="40" spans="1:8" x14ac:dyDescent="0.3">
      <c r="A40" s="26"/>
      <c r="B40" s="26"/>
      <c r="C40" s="26"/>
      <c r="D40" s="26"/>
    </row>
    <row r="41" spans="1:8" x14ac:dyDescent="0.3">
      <c r="A41" s="26"/>
      <c r="B41" s="26"/>
      <c r="C41" s="26"/>
      <c r="D41" s="26"/>
    </row>
    <row r="42" spans="1:8" x14ac:dyDescent="0.3">
      <c r="A42" s="26"/>
      <c r="B42" s="26"/>
      <c r="C42" s="26"/>
      <c r="D42" s="26"/>
    </row>
    <row r="43" spans="1:8" x14ac:dyDescent="0.3">
      <c r="A43" s="26"/>
      <c r="B43" s="26"/>
      <c r="C43" s="26"/>
      <c r="D43" s="26"/>
    </row>
    <row r="44" spans="1:8" x14ac:dyDescent="0.3">
      <c r="A44" s="26"/>
      <c r="B44" s="26"/>
      <c r="C44" s="26"/>
      <c r="D44" s="26"/>
    </row>
    <row r="45" spans="1:8" x14ac:dyDescent="0.3">
      <c r="A45" s="26"/>
      <c r="B45" s="26"/>
      <c r="C45" s="26"/>
      <c r="D45" s="26"/>
    </row>
    <row r="46" spans="1:8" x14ac:dyDescent="0.3">
      <c r="A46" s="26"/>
      <c r="B46" s="26"/>
      <c r="C46" s="26"/>
      <c r="D46" s="26"/>
    </row>
    <row r="47" spans="1:8" x14ac:dyDescent="0.3">
      <c r="A47" s="26"/>
      <c r="B47" s="26"/>
      <c r="C47" s="26"/>
      <c r="D47" s="26"/>
    </row>
    <row r="48" spans="1:8" x14ac:dyDescent="0.3">
      <c r="A48" s="26"/>
      <c r="B48" s="26"/>
      <c r="C48" s="26"/>
      <c r="D48" s="26"/>
    </row>
    <row r="49" spans="1:4" x14ac:dyDescent="0.3">
      <c r="A49" s="26"/>
      <c r="B49" s="26"/>
      <c r="C49" s="26"/>
      <c r="D49" s="26"/>
    </row>
    <row r="50" spans="1:4" x14ac:dyDescent="0.3">
      <c r="A50" s="26"/>
      <c r="B50" s="26"/>
      <c r="C50" s="26"/>
      <c r="D50" s="26"/>
    </row>
    <row r="51" spans="1:4" x14ac:dyDescent="0.3">
      <c r="A51" s="26"/>
      <c r="B51" s="26"/>
      <c r="C51" s="26"/>
      <c r="D51" s="26"/>
    </row>
    <row r="52" spans="1:4" x14ac:dyDescent="0.3">
      <c r="A52" s="26"/>
      <c r="B52" s="26"/>
      <c r="C52" s="26"/>
      <c r="D52" s="26"/>
    </row>
    <row r="53" spans="1:4" x14ac:dyDescent="0.3">
      <c r="A53" s="26"/>
      <c r="B53" s="26"/>
      <c r="C53" s="26"/>
      <c r="D53" s="26"/>
    </row>
    <row r="54" spans="1:4" x14ac:dyDescent="0.3">
      <c r="A54" s="26"/>
      <c r="B54" s="26"/>
      <c r="C54" s="26"/>
      <c r="D54" s="26"/>
    </row>
    <row r="55" spans="1:4" x14ac:dyDescent="0.3">
      <c r="A55" s="26"/>
      <c r="B55" s="26"/>
      <c r="C55" s="26"/>
      <c r="D55" s="26"/>
    </row>
    <row r="56" spans="1:4" x14ac:dyDescent="0.3">
      <c r="A56" s="26"/>
      <c r="B56" s="26"/>
      <c r="C56" s="26"/>
      <c r="D56" s="26"/>
    </row>
    <row r="57" spans="1:4" x14ac:dyDescent="0.3">
      <c r="A57" s="26"/>
      <c r="B57" s="26"/>
      <c r="C57" s="26"/>
      <c r="D57" s="26"/>
    </row>
    <row r="58" spans="1:4" x14ac:dyDescent="0.3">
      <c r="A58" s="26"/>
      <c r="B58" s="26"/>
      <c r="C58" s="26"/>
      <c r="D58" s="26"/>
    </row>
    <row r="59" spans="1:4" x14ac:dyDescent="0.3">
      <c r="A59" s="26"/>
      <c r="B59" s="26"/>
      <c r="C59" s="26"/>
      <c r="D59" s="26"/>
    </row>
    <row r="60" spans="1:4" x14ac:dyDescent="0.3">
      <c r="A60" s="26"/>
      <c r="B60" s="26"/>
      <c r="C60" s="26"/>
      <c r="D60" s="26"/>
    </row>
    <row r="61" spans="1:4" x14ac:dyDescent="0.3">
      <c r="A61" s="26"/>
      <c r="B61" s="26"/>
      <c r="C61" s="26"/>
      <c r="D61" s="26"/>
    </row>
    <row r="62" spans="1:4" x14ac:dyDescent="0.3">
      <c r="A62" s="26"/>
      <c r="B62" s="26"/>
      <c r="C62" s="26"/>
      <c r="D62" s="26"/>
    </row>
    <row r="63" spans="1:4" x14ac:dyDescent="0.3">
      <c r="A63" s="26"/>
      <c r="B63" s="26"/>
      <c r="C63" s="26"/>
      <c r="D63" s="26"/>
    </row>
    <row r="64" spans="1:4" x14ac:dyDescent="0.3">
      <c r="A64" s="26"/>
      <c r="B64" s="26"/>
      <c r="C64" s="26"/>
      <c r="D64" s="26"/>
    </row>
    <row r="65" spans="1:4" x14ac:dyDescent="0.3">
      <c r="A65" s="26"/>
      <c r="B65" s="26"/>
      <c r="C65" s="26"/>
      <c r="D65" s="26"/>
    </row>
    <row r="66" spans="1:4" x14ac:dyDescent="0.3">
      <c r="A66" s="26"/>
      <c r="B66" s="26"/>
      <c r="C66" s="26"/>
      <c r="D66" s="26"/>
    </row>
    <row r="67" spans="1:4" x14ac:dyDescent="0.3">
      <c r="A67" s="26"/>
      <c r="B67" s="26"/>
      <c r="C67" s="26"/>
      <c r="D67" s="26"/>
    </row>
    <row r="68" spans="1:4" x14ac:dyDescent="0.3">
      <c r="A68" s="26"/>
      <c r="B68" s="26"/>
      <c r="C68" s="26"/>
      <c r="D68" s="26"/>
    </row>
    <row r="69" spans="1:4" x14ac:dyDescent="0.3">
      <c r="A69" s="26"/>
      <c r="B69" s="26"/>
      <c r="C69" s="26"/>
      <c r="D69" s="26"/>
    </row>
    <row r="70" spans="1:4" x14ac:dyDescent="0.3">
      <c r="A70" s="26"/>
      <c r="B70" s="26"/>
      <c r="C70" s="26"/>
      <c r="D70" s="26"/>
    </row>
    <row r="71" spans="1:4" x14ac:dyDescent="0.3">
      <c r="A71" s="26"/>
      <c r="B71" s="26"/>
      <c r="C71" s="26"/>
      <c r="D71" s="26"/>
    </row>
    <row r="72" spans="1:4" x14ac:dyDescent="0.3">
      <c r="A72" s="26"/>
      <c r="B72" s="26"/>
      <c r="C72" s="26"/>
      <c r="D72" s="26"/>
    </row>
    <row r="73" spans="1:4" x14ac:dyDescent="0.3">
      <c r="A73" s="26"/>
      <c r="B73" s="26"/>
      <c r="C73" s="26"/>
      <c r="D73" s="26"/>
    </row>
    <row r="74" spans="1:4" x14ac:dyDescent="0.3">
      <c r="A74" s="26"/>
      <c r="B74" s="26"/>
      <c r="C74" s="26"/>
      <c r="D74" s="26"/>
    </row>
    <row r="75" spans="1:4" x14ac:dyDescent="0.3">
      <c r="A75" s="26"/>
      <c r="B75" s="26"/>
      <c r="C75" s="26"/>
      <c r="D75" s="26"/>
    </row>
    <row r="76" spans="1:4" x14ac:dyDescent="0.3">
      <c r="A76" s="26"/>
      <c r="B76" s="26"/>
      <c r="C76" s="26"/>
      <c r="D76" s="26"/>
    </row>
    <row r="77" spans="1:4" x14ac:dyDescent="0.3">
      <c r="A77" s="26"/>
      <c r="B77" s="26"/>
      <c r="C77" s="26"/>
      <c r="D77" s="26"/>
    </row>
    <row r="78" spans="1:4" x14ac:dyDescent="0.3">
      <c r="A78" s="26"/>
      <c r="B78" s="26"/>
      <c r="C78" s="26"/>
      <c r="D78" s="26"/>
    </row>
    <row r="79" spans="1:4" x14ac:dyDescent="0.3">
      <c r="A79" s="26"/>
      <c r="B79" s="26"/>
      <c r="C79" s="26"/>
      <c r="D79" s="26"/>
    </row>
    <row r="80" spans="1:4" x14ac:dyDescent="0.3">
      <c r="A80" s="26"/>
      <c r="B80" s="26"/>
      <c r="C80" s="26"/>
      <c r="D80" s="26"/>
    </row>
    <row r="81" spans="1:4" x14ac:dyDescent="0.3">
      <c r="A81" s="26"/>
      <c r="B81" s="26"/>
      <c r="C81" s="26"/>
      <c r="D81" s="26"/>
    </row>
    <row r="82" spans="1:4" x14ac:dyDescent="0.3">
      <c r="A82" s="26"/>
      <c r="B82" s="26"/>
      <c r="C82" s="26"/>
      <c r="D82" s="26"/>
    </row>
    <row r="83" spans="1:4" x14ac:dyDescent="0.3">
      <c r="A83" s="26"/>
      <c r="B83" s="26"/>
      <c r="C83" s="26"/>
      <c r="D83" s="26"/>
    </row>
    <row r="84" spans="1:4" x14ac:dyDescent="0.3">
      <c r="A84" s="26"/>
      <c r="B84" s="26"/>
      <c r="C84" s="26"/>
      <c r="D84" s="26"/>
    </row>
    <row r="85" spans="1:4" x14ac:dyDescent="0.3">
      <c r="A85" s="26"/>
      <c r="B85" s="26"/>
      <c r="C85" s="26"/>
      <c r="D85" s="26"/>
    </row>
    <row r="86" spans="1:4" x14ac:dyDescent="0.3">
      <c r="A86" s="26"/>
      <c r="B86" s="26"/>
      <c r="C86" s="26"/>
      <c r="D86" s="26"/>
    </row>
    <row r="87" spans="1:4" x14ac:dyDescent="0.3">
      <c r="A87" s="26"/>
      <c r="B87" s="26"/>
      <c r="C87" s="26"/>
      <c r="D87" s="26"/>
    </row>
    <row r="88" spans="1:4" x14ac:dyDescent="0.3">
      <c r="A88" s="26"/>
      <c r="B88" s="26"/>
      <c r="C88" s="26"/>
      <c r="D88" s="26"/>
    </row>
    <row r="89" spans="1:4" x14ac:dyDescent="0.3">
      <c r="A89" s="26"/>
      <c r="B89" s="26"/>
      <c r="C89" s="26"/>
      <c r="D89" s="26"/>
    </row>
    <row r="90" spans="1:4" x14ac:dyDescent="0.3">
      <c r="A90" s="26"/>
      <c r="B90" s="26"/>
      <c r="C90" s="26"/>
      <c r="D90" s="26"/>
    </row>
    <row r="91" spans="1:4" x14ac:dyDescent="0.3">
      <c r="A91" s="26"/>
      <c r="B91" s="26"/>
      <c r="C91" s="26"/>
      <c r="D91" s="26"/>
    </row>
    <row r="92" spans="1:4" x14ac:dyDescent="0.3">
      <c r="A92" s="26"/>
      <c r="B92" s="26"/>
      <c r="C92" s="26"/>
      <c r="D92" s="26"/>
    </row>
    <row r="93" spans="1:4" x14ac:dyDescent="0.3">
      <c r="A93" s="26"/>
      <c r="B93" s="26"/>
      <c r="C93" s="26"/>
      <c r="D93" s="26"/>
    </row>
    <row r="94" spans="1:4" x14ac:dyDescent="0.3">
      <c r="A94" s="26"/>
      <c r="B94" s="26"/>
      <c r="C94" s="26"/>
      <c r="D94" s="26"/>
    </row>
    <row r="95" spans="1:4" x14ac:dyDescent="0.3">
      <c r="A95" s="26"/>
      <c r="B95" s="26"/>
      <c r="C95" s="26"/>
      <c r="D95" s="26"/>
    </row>
    <row r="96" spans="1:4" x14ac:dyDescent="0.3">
      <c r="A96" s="26"/>
      <c r="B96" s="26"/>
      <c r="C96" s="26"/>
      <c r="D96" s="26"/>
    </row>
    <row r="97" spans="1:4" x14ac:dyDescent="0.3">
      <c r="A97" s="26"/>
      <c r="B97" s="26"/>
      <c r="C97" s="26"/>
      <c r="D97" s="2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57F49488307D4F816586BDB25290F4" ma:contentTypeVersion="2" ma:contentTypeDescription="Create a new document." ma:contentTypeScope="" ma:versionID="472a1bbf8c2e925c452f07710dbad154">
  <xsd:schema xmlns:xsd="http://www.w3.org/2001/XMLSchema" xmlns:xs="http://www.w3.org/2001/XMLSchema" xmlns:p="http://schemas.microsoft.com/office/2006/metadata/properties" xmlns:ns1="http://schemas.microsoft.com/sharepoint/v3" xmlns:ns2="3d0ffbf4-0ab1-4e4b-bd8c-865f61d41201" targetNamespace="http://schemas.microsoft.com/office/2006/metadata/properties" ma:root="true" ma:fieldsID="0358fc54e04717fd1f8ea0dccb55e9fc" ns1:_="" ns2:_="">
    <xsd:import namespace="http://schemas.microsoft.com/sharepoint/v3"/>
    <xsd:import namespace="3d0ffbf4-0ab1-4e4b-bd8c-865f61d4120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ffbf4-0ab1-4e4b-bd8c-865f61d412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7F2C199-42BB-43F0-B249-6CE9FA9C2062}"/>
</file>

<file path=customXml/itemProps2.xml><?xml version="1.0" encoding="utf-8"?>
<ds:datastoreItem xmlns:ds="http://schemas.openxmlformats.org/officeDocument/2006/customXml" ds:itemID="{E0824A8C-F157-4489-9CC7-9F08D7843F11}"/>
</file>

<file path=customXml/itemProps3.xml><?xml version="1.0" encoding="utf-8"?>
<ds:datastoreItem xmlns:ds="http://schemas.openxmlformats.org/officeDocument/2006/customXml" ds:itemID="{AE2D4836-9D75-4964-BB86-62E1CC9444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Overview</vt:lpstr>
      <vt:lpstr>General Office</vt:lpstr>
      <vt:lpstr>Chair</vt:lpstr>
      <vt:lpstr>Vice</vt:lpstr>
      <vt:lpstr>MASC</vt:lpstr>
      <vt:lpstr>TSR</vt:lpstr>
      <vt:lpstr>Secretary</vt:lpstr>
      <vt:lpstr>Treasurer</vt:lpstr>
      <vt:lpstr>Societies</vt:lpstr>
      <vt:lpstr>AAC</vt:lpstr>
      <vt:lpstr>SUI</vt:lpstr>
      <vt:lpstr>Special Needs</vt:lpstr>
      <vt:lpstr>Senior Prims</vt:lpstr>
      <vt:lpstr>Womxn Queer</vt:lpstr>
      <vt:lpstr>Sports</vt:lpstr>
      <vt:lpstr>Leadership</vt:lpstr>
      <vt:lpstr>Safety and Security</vt:lpstr>
      <vt:lpstr>Comms</vt:lpstr>
      <vt:lpstr>KuKo</vt:lpstr>
      <vt:lpstr>Transformation</vt:lpstr>
      <vt:lpstr>Student Wellness</vt:lpstr>
      <vt:lpstr>Branding</vt:lpstr>
      <vt:lpstr>Sustainability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2020-03-23T16:19:28Z</dcterms:created>
  <dcterms:modified xsi:type="dcterms:W3CDTF">2020-05-13T19:50:47Z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0x010100E657F49488307D4F816586BDB25290F4</vt:lpwstr>
  </property>
</Properties>
</file>